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com-my.sharepoint.com/personal/corri_waters_aecom_com/Documents/MEA On Call/MSAP/"/>
    </mc:Choice>
  </mc:AlternateContent>
  <xr:revisionPtr revIDLastSave="1" documentId="8_{52CB7F9B-AFAF-4E87-AA72-FCA3F5E44161}" xr6:coauthVersionLast="47" xr6:coauthVersionMax="47" xr10:uidLastSave="{FBFEA996-55FA-4FC4-BA00-40EBE571C02E}"/>
  <bookViews>
    <workbookView xWindow="28680" yWindow="-120" windowWidth="29040" windowHeight="15720" xr2:uid="{C58D4D01-FC89-42D4-A1E5-41761C0B0323}"/>
  </bookViews>
  <sheets>
    <sheet name="PPA" sheetId="23" r:id="rId1"/>
    <sheet name="Lease" sheetId="22" r:id="rId2"/>
    <sheet name="Loan" sheetId="26" r:id="rId3"/>
    <sheet name="System Purchase" sheetId="21" r:id="rId4"/>
    <sheet name="Reference Values" sheetId="31" r:id="rId5"/>
    <sheet name="Change Log" sheetId="32" state="hidden" r:id="rId6"/>
    <sheet name="Inputs" sheetId="25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6" l="1"/>
  <c r="C18" i="21"/>
  <c r="C7" i="31" l="1"/>
  <c r="C8" i="25" s="1"/>
  <c r="D7" i="31"/>
  <c r="C8" i="31"/>
  <c r="D8" i="31"/>
  <c r="C9" i="31"/>
  <c r="D9" i="31"/>
  <c r="C10" i="31"/>
  <c r="D10" i="31"/>
  <c r="D11" i="25" s="1"/>
  <c r="C11" i="31"/>
  <c r="D11" i="31"/>
  <c r="C12" i="31"/>
  <c r="D12" i="31"/>
  <c r="D13" i="25" s="1"/>
  <c r="C13" i="31"/>
  <c r="C14" i="25" s="1"/>
  <c r="D13" i="31"/>
  <c r="D14" i="25" s="1"/>
  <c r="C14" i="31"/>
  <c r="D14" i="31"/>
  <c r="C15" i="31"/>
  <c r="C16" i="25" s="1"/>
  <c r="D15" i="31"/>
  <c r="C16" i="31"/>
  <c r="D16" i="31"/>
  <c r="C17" i="31"/>
  <c r="D17" i="31"/>
  <c r="C18" i="31"/>
  <c r="D18" i="31"/>
  <c r="D6" i="31"/>
  <c r="C6" i="31"/>
  <c r="C7" i="25" s="1"/>
  <c r="D7" i="25"/>
  <c r="D8" i="25"/>
  <c r="C9" i="25"/>
  <c r="D9" i="25"/>
  <c r="C10" i="25"/>
  <c r="D10" i="25"/>
  <c r="C11" i="25"/>
  <c r="C13" i="25"/>
  <c r="D16" i="25"/>
  <c r="C18" i="25"/>
  <c r="D18" i="25"/>
  <c r="C19" i="25"/>
  <c r="D19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C12" i="25" l="1"/>
  <c r="D12" i="25"/>
  <c r="C15" i="25"/>
  <c r="D15" i="25"/>
  <c r="C17" i="25"/>
  <c r="D17" i="25"/>
  <c r="C20" i="22" l="1"/>
  <c r="C19" i="23"/>
  <c r="I4" i="23"/>
  <c r="D10" i="23"/>
  <c r="D10" i="22"/>
  <c r="D10" i="26"/>
  <c r="D10" i="21"/>
  <c r="F4" i="26" l="1"/>
  <c r="F5" i="26" s="1"/>
  <c r="F6" i="26" s="1"/>
  <c r="F7" i="26" s="1"/>
  <c r="F8" i="26" s="1"/>
  <c r="F9" i="26" s="1"/>
  <c r="F10" i="26" s="1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C12" i="26" l="1"/>
  <c r="K4" i="26" s="1"/>
  <c r="C12" i="21"/>
  <c r="C12" i="22"/>
  <c r="C20" i="23"/>
  <c r="B22" i="23" s="1"/>
  <c r="C12" i="23"/>
  <c r="J4" i="26"/>
  <c r="F4" i="23"/>
  <c r="F5" i="23" s="1"/>
  <c r="I5" i="23" s="1"/>
  <c r="J4" i="22"/>
  <c r="F4" i="22"/>
  <c r="F5" i="22" s="1"/>
  <c r="I4" i="21"/>
  <c r="F4" i="21"/>
  <c r="F5" i="21" s="1"/>
  <c r="G4" i="26" l="1"/>
  <c r="J4" i="21"/>
  <c r="K4" i="22"/>
  <c r="G4" i="22" s="1"/>
  <c r="J4" i="23"/>
  <c r="K5" i="26"/>
  <c r="J5" i="26"/>
  <c r="F6" i="23"/>
  <c r="J5" i="22"/>
  <c r="F6" i="22"/>
  <c r="F6" i="21"/>
  <c r="I5" i="21"/>
  <c r="J5" i="23" l="1"/>
  <c r="G5" i="23" s="1"/>
  <c r="G4" i="23"/>
  <c r="J5" i="21"/>
  <c r="G5" i="21" s="1"/>
  <c r="G4" i="21"/>
  <c r="G5" i="26"/>
  <c r="K6" i="26"/>
  <c r="J6" i="26"/>
  <c r="K5" i="22"/>
  <c r="G5" i="22" s="1"/>
  <c r="I6" i="23"/>
  <c r="F7" i="23"/>
  <c r="F7" i="22"/>
  <c r="J6" i="22"/>
  <c r="I6" i="21"/>
  <c r="F7" i="21"/>
  <c r="J6" i="23" l="1"/>
  <c r="G6" i="23" s="1"/>
  <c r="J6" i="21"/>
  <c r="G6" i="21" s="1"/>
  <c r="G6" i="26"/>
  <c r="K6" i="22"/>
  <c r="G6" i="22" s="1"/>
  <c r="K7" i="26"/>
  <c r="J7" i="26"/>
  <c r="I7" i="23"/>
  <c r="F8" i="23"/>
  <c r="J7" i="22"/>
  <c r="F8" i="22"/>
  <c r="I7" i="21"/>
  <c r="F8" i="21"/>
  <c r="J7" i="23" l="1"/>
  <c r="G7" i="23" s="1"/>
  <c r="I8" i="23"/>
  <c r="J7" i="21"/>
  <c r="G7" i="21" s="1"/>
  <c r="G7" i="26"/>
  <c r="K7" i="22"/>
  <c r="G7" i="22" s="1"/>
  <c r="K8" i="26"/>
  <c r="J8" i="26"/>
  <c r="F9" i="23"/>
  <c r="F9" i="22"/>
  <c r="J8" i="22"/>
  <c r="F9" i="21"/>
  <c r="I8" i="21"/>
  <c r="J8" i="23" l="1"/>
  <c r="G8" i="23" s="1"/>
  <c r="J8" i="21"/>
  <c r="G8" i="21" s="1"/>
  <c r="G8" i="26"/>
  <c r="K8" i="22"/>
  <c r="G8" i="22" s="1"/>
  <c r="K9" i="26"/>
  <c r="J9" i="26"/>
  <c r="I9" i="23"/>
  <c r="F10" i="23"/>
  <c r="J9" i="22"/>
  <c r="F10" i="22"/>
  <c r="F10" i="21"/>
  <c r="I9" i="21"/>
  <c r="J9" i="23" l="1"/>
  <c r="G9" i="23" s="1"/>
  <c r="J9" i="21"/>
  <c r="J10" i="21" s="1"/>
  <c r="G9" i="26"/>
  <c r="K9" i="22"/>
  <c r="G9" i="22" s="1"/>
  <c r="K10" i="26"/>
  <c r="J10" i="26"/>
  <c r="F11" i="23"/>
  <c r="I10" i="23"/>
  <c r="F11" i="22"/>
  <c r="J10" i="22"/>
  <c r="I10" i="21"/>
  <c r="F11" i="21"/>
  <c r="J10" i="23" l="1"/>
  <c r="G10" i="23" s="1"/>
  <c r="G9" i="21"/>
  <c r="K10" i="22"/>
  <c r="G10" i="22" s="1"/>
  <c r="G10" i="26"/>
  <c r="K11" i="26"/>
  <c r="J11" i="26"/>
  <c r="G10" i="21"/>
  <c r="I11" i="23"/>
  <c r="F12" i="23"/>
  <c r="J11" i="22"/>
  <c r="F12" i="22"/>
  <c r="I11" i="21"/>
  <c r="J11" i="21"/>
  <c r="F12" i="21"/>
  <c r="J11" i="23" l="1"/>
  <c r="G11" i="23" s="1"/>
  <c r="G11" i="26"/>
  <c r="K11" i="22"/>
  <c r="G11" i="22" s="1"/>
  <c r="K12" i="26"/>
  <c r="J12" i="26"/>
  <c r="G11" i="21"/>
  <c r="F13" i="23"/>
  <c r="I12" i="23"/>
  <c r="J12" i="22"/>
  <c r="F13" i="22"/>
  <c r="F13" i="21"/>
  <c r="I12" i="21"/>
  <c r="J12" i="21"/>
  <c r="J12" i="23" l="1"/>
  <c r="G12" i="23" s="1"/>
  <c r="K12" i="22"/>
  <c r="K13" i="22" s="1"/>
  <c r="G12" i="26"/>
  <c r="G12" i="21"/>
  <c r="K13" i="26"/>
  <c r="J13" i="26"/>
  <c r="F14" i="23"/>
  <c r="I13" i="23"/>
  <c r="F14" i="22"/>
  <c r="J13" i="22"/>
  <c r="F14" i="21"/>
  <c r="J13" i="21"/>
  <c r="I13" i="21"/>
  <c r="J13" i="23" l="1"/>
  <c r="G12" i="22"/>
  <c r="G13" i="22"/>
  <c r="G13" i="26"/>
  <c r="K14" i="26"/>
  <c r="J14" i="26"/>
  <c r="G13" i="21"/>
  <c r="G13" i="23"/>
  <c r="J14" i="23"/>
  <c r="I14" i="23"/>
  <c r="F15" i="23"/>
  <c r="K14" i="22"/>
  <c r="J14" i="22"/>
  <c r="F15" i="22"/>
  <c r="I14" i="21"/>
  <c r="F15" i="21"/>
  <c r="J14" i="21"/>
  <c r="G14" i="26" l="1"/>
  <c r="G14" i="22"/>
  <c r="K15" i="26"/>
  <c r="J15" i="26"/>
  <c r="G14" i="21"/>
  <c r="G14" i="23"/>
  <c r="F16" i="23"/>
  <c r="I15" i="23"/>
  <c r="J15" i="23"/>
  <c r="F16" i="22"/>
  <c r="K15" i="22"/>
  <c r="J15" i="22"/>
  <c r="I15" i="21"/>
  <c r="F16" i="21"/>
  <c r="J15" i="21"/>
  <c r="G15" i="26" l="1"/>
  <c r="G15" i="21"/>
  <c r="K16" i="26"/>
  <c r="J16" i="26"/>
  <c r="G15" i="22"/>
  <c r="G15" i="23"/>
  <c r="J16" i="23"/>
  <c r="I16" i="23"/>
  <c r="F17" i="23"/>
  <c r="J16" i="22"/>
  <c r="F17" i="22"/>
  <c r="K16" i="22"/>
  <c r="I16" i="21"/>
  <c r="F17" i="21"/>
  <c r="J16" i="21"/>
  <c r="G16" i="21" s="1"/>
  <c r="G16" i="22" l="1"/>
  <c r="G16" i="26"/>
  <c r="J17" i="26"/>
  <c r="K17" i="26"/>
  <c r="G16" i="23"/>
  <c r="J17" i="23"/>
  <c r="F18" i="23"/>
  <c r="I17" i="23"/>
  <c r="K17" i="22"/>
  <c r="F18" i="22"/>
  <c r="J17" i="22"/>
  <c r="F18" i="21"/>
  <c r="J17" i="21"/>
  <c r="I17" i="21"/>
  <c r="G17" i="21" l="1"/>
  <c r="G17" i="26"/>
  <c r="K18" i="26"/>
  <c r="J18" i="26"/>
  <c r="G17" i="22"/>
  <c r="G17" i="23"/>
  <c r="F19" i="23"/>
  <c r="J18" i="23"/>
  <c r="I18" i="23"/>
  <c r="F19" i="22"/>
  <c r="K18" i="22"/>
  <c r="J18" i="22"/>
  <c r="J18" i="21"/>
  <c r="F19" i="21"/>
  <c r="I18" i="21"/>
  <c r="G18" i="26" l="1"/>
  <c r="G18" i="22"/>
  <c r="G18" i="23"/>
  <c r="K19" i="26"/>
  <c r="J19" i="26"/>
  <c r="G18" i="21"/>
  <c r="I19" i="23"/>
  <c r="J19" i="23"/>
  <c r="F20" i="23"/>
  <c r="K19" i="22"/>
  <c r="F20" i="22"/>
  <c r="J19" i="22"/>
  <c r="J19" i="21"/>
  <c r="F20" i="21"/>
  <c r="I19" i="21"/>
  <c r="G19" i="23" l="1"/>
  <c r="G19" i="26"/>
  <c r="J20" i="26"/>
  <c r="K20" i="26"/>
  <c r="G19" i="21"/>
  <c r="G19" i="22"/>
  <c r="F21" i="23"/>
  <c r="J20" i="23"/>
  <c r="I20" i="23"/>
  <c r="F21" i="22"/>
  <c r="K20" i="22"/>
  <c r="J20" i="22"/>
  <c r="F21" i="21"/>
  <c r="I20" i="21"/>
  <c r="J20" i="21"/>
  <c r="G20" i="26" l="1"/>
  <c r="K21" i="26"/>
  <c r="J21" i="26"/>
  <c r="G20" i="21"/>
  <c r="G20" i="22"/>
  <c r="G20" i="23"/>
  <c r="I21" i="23"/>
  <c r="F22" i="23"/>
  <c r="J21" i="23"/>
  <c r="K21" i="22"/>
  <c r="J21" i="22"/>
  <c r="F22" i="22"/>
  <c r="J21" i="21"/>
  <c r="I21" i="21"/>
  <c r="F22" i="21"/>
  <c r="G21" i="26" l="1"/>
  <c r="J22" i="26"/>
  <c r="K22" i="26"/>
  <c r="G21" i="21"/>
  <c r="G21" i="22"/>
  <c r="G21" i="23"/>
  <c r="J22" i="23"/>
  <c r="I22" i="23"/>
  <c r="F23" i="23"/>
  <c r="K22" i="22"/>
  <c r="J22" i="22"/>
  <c r="F23" i="22"/>
  <c r="J22" i="21"/>
  <c r="I22" i="21"/>
  <c r="F23" i="21"/>
  <c r="G22" i="26" l="1"/>
  <c r="J23" i="26"/>
  <c r="K23" i="26"/>
  <c r="G22" i="21"/>
  <c r="G22" i="22"/>
  <c r="G22" i="23"/>
  <c r="F24" i="23"/>
  <c r="J23" i="23"/>
  <c r="I23" i="23"/>
  <c r="F24" i="22"/>
  <c r="K23" i="22"/>
  <c r="J23" i="22"/>
  <c r="F24" i="21"/>
  <c r="J23" i="21"/>
  <c r="I23" i="21"/>
  <c r="G23" i="26" l="1"/>
  <c r="K24" i="26"/>
  <c r="J24" i="26"/>
  <c r="G23" i="21"/>
  <c r="G23" i="22"/>
  <c r="G23" i="23"/>
  <c r="J24" i="23"/>
  <c r="I24" i="23"/>
  <c r="F25" i="23"/>
  <c r="F25" i="22"/>
  <c r="J24" i="22"/>
  <c r="K24" i="22"/>
  <c r="F25" i="21"/>
  <c r="J24" i="21"/>
  <c r="I24" i="21"/>
  <c r="G24" i="26" l="1"/>
  <c r="G24" i="23"/>
  <c r="K25" i="26"/>
  <c r="J25" i="26"/>
  <c r="G24" i="21"/>
  <c r="G24" i="22"/>
  <c r="F26" i="23"/>
  <c r="J25" i="23"/>
  <c r="I25" i="23"/>
  <c r="F26" i="22"/>
  <c r="K25" i="22"/>
  <c r="J25" i="22"/>
  <c r="F26" i="21"/>
  <c r="I25" i="21"/>
  <c r="J25" i="21"/>
  <c r="G25" i="26" l="1"/>
  <c r="G25" i="22"/>
  <c r="G25" i="21"/>
  <c r="K26" i="26"/>
  <c r="J26" i="26"/>
  <c r="G25" i="23"/>
  <c r="I26" i="23"/>
  <c r="F27" i="23"/>
  <c r="J26" i="23"/>
  <c r="J26" i="22"/>
  <c r="K26" i="22"/>
  <c r="F27" i="22"/>
  <c r="I26" i="21"/>
  <c r="J26" i="21"/>
  <c r="F27" i="21"/>
  <c r="G26" i="23" l="1"/>
  <c r="G26" i="21"/>
  <c r="G26" i="26"/>
  <c r="G26" i="22"/>
  <c r="K27" i="26"/>
  <c r="J27" i="26"/>
  <c r="F28" i="23"/>
  <c r="J27" i="23"/>
  <c r="I27" i="23"/>
  <c r="J27" i="22"/>
  <c r="F28" i="22"/>
  <c r="K27" i="22"/>
  <c r="I27" i="21"/>
  <c r="F28" i="21"/>
  <c r="J27" i="21"/>
  <c r="G27" i="26" l="1"/>
  <c r="G27" i="22"/>
  <c r="G27" i="21"/>
  <c r="K28" i="26"/>
  <c r="J28" i="26"/>
  <c r="G27" i="23"/>
  <c r="J28" i="23"/>
  <c r="I28" i="23"/>
  <c r="K28" i="22"/>
  <c r="J28" i="22"/>
  <c r="J28" i="21"/>
  <c r="I28" i="21"/>
  <c r="G28" i="26" l="1"/>
  <c r="G28" i="21"/>
  <c r="F32" i="21" s="1"/>
  <c r="C19" i="21" s="1"/>
  <c r="G28" i="22"/>
  <c r="G28" i="23"/>
  <c r="F32" i="23" s="1"/>
  <c r="C21" i="22" l="1"/>
  <c r="B23" i="22" s="1"/>
  <c r="G32" i="22"/>
  <c r="G32" i="26"/>
  <c r="C22" i="26" s="1"/>
  <c r="C21" i="26" s="1"/>
  <c r="B21" i="21"/>
  <c r="H4" i="26"/>
  <c r="H5" i="26" l="1"/>
  <c r="H6" i="26" s="1"/>
  <c r="H7" i="26" s="1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4" i="22"/>
  <c r="H32" i="26" l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32" i="22" l="1"/>
  <c r="B2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tc={A0D07DBB-6101-40D3-91C0-163D19533B4A}</author>
    <author>tc={2C570923-2AE6-4A9B-A72F-57EA46816C43}</author>
  </authors>
  <commentList>
    <comment ref="I6" authorId="0" shapeId="0" xr:uid="{A0D07DBB-6101-40D3-91C0-163D19533B4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most recent date the utility updated their main residential tariff and riders. Does not represent monthly updates (like the Power Cost Adjustment) or utilities with month-to-month supply cost changes.</t>
      </text>
    </comment>
    <comment ref="J6" authorId="1" shapeId="0" xr:uid="{2C570923-2AE6-4A9B-A72F-57EA46816C43}">
      <text>
        <t>[Threaded comment]
Your version of Excel allows you to read this threaded comment; however, any edits to it will get removed if the file is opened in a newer version of Excel. Learn more: https://go.microsoft.com/fwlink/?linkid=870924
Comment:
    Cadence that the utility updates their electric tariff. Cost of supply/generation rates may be updated more frequently (monthly) but not captured in the tariffs or regularly published by the utilities.</t>
      </text>
    </comment>
  </commentList>
</comments>
</file>

<file path=xl/sharedStrings.xml><?xml version="1.0" encoding="utf-8"?>
<sst xmlns="http://schemas.openxmlformats.org/spreadsheetml/2006/main" count="199" uniqueCount="135">
  <si>
    <t>BGE</t>
  </si>
  <si>
    <t>Maximum-Equivalent Offer Calculator: Lease</t>
  </si>
  <si>
    <t>Gray Cells: Static values, not to be edited.
Yellow Cells: Input values.
Blue Cells: Output values.</t>
  </si>
  <si>
    <t>Year</t>
  </si>
  <si>
    <t>PPA Cost [$/yr]</t>
  </si>
  <si>
    <t>Lease Cost [$/yr]</t>
  </si>
  <si>
    <t>Avg. System Production [kWh/mo]</t>
  </si>
  <si>
    <t>PPA Rates [$/kWh]</t>
  </si>
  <si>
    <t>Static Assumed Values</t>
  </si>
  <si>
    <t>System Owner NPV Discount Rate [%]</t>
  </si>
  <si>
    <t>Annual Degradation Rate [%]</t>
  </si>
  <si>
    <t>Lease Term, Expected System Lifespan (25-Year Maximum) [yrs]</t>
  </si>
  <si>
    <t>PPA Escalator [%/yr]</t>
  </si>
  <si>
    <t>Lease Inputs</t>
  </si>
  <si>
    <t>Customer Utility Service Territory</t>
  </si>
  <si>
    <t>Pepco</t>
  </si>
  <si>
    <r>
      <t xml:space="preserve">Maximum-Offer: First Year Lease Rate </t>
    </r>
    <r>
      <rPr>
        <u/>
        <sz val="11"/>
        <color theme="1"/>
        <rFont val="Calibri"/>
        <family val="2"/>
        <scheme val="minor"/>
      </rPr>
      <t>with escalator</t>
    </r>
    <r>
      <rPr>
        <sz val="11"/>
        <color theme="1"/>
        <rFont val="Calibri"/>
        <family val="2"/>
        <scheme val="minor"/>
      </rPr>
      <t xml:space="preserve"> [$/kWh]</t>
    </r>
  </si>
  <si>
    <t>First-Year Projected Total PV Generation [kWh/yr]</t>
  </si>
  <si>
    <t>The MEA grant is authorized to the contractor, in addition to
other federal and state incentives, allowing the contractor to
provide a discounted lease rate to the resident</t>
  </si>
  <si>
    <t>Yes</t>
  </si>
  <si>
    <t>Total System Cost (as appears on the contract or disclosure) [$]</t>
  </si>
  <si>
    <t>Non-solar costs incorporated into the lease rate (enter $0 if
lease rate is reflective of solar-related costs only)</t>
  </si>
  <si>
    <t>Lease Escalator [%/yr]</t>
  </si>
  <si>
    <t>First-year monthly lease rate (as appears on the contract)</t>
  </si>
  <si>
    <r>
      <rPr>
        <b/>
        <sz val="11"/>
        <color theme="1"/>
        <rFont val="Calibri"/>
        <family val="2"/>
        <scheme val="minor"/>
      </rPr>
      <t>First-year monthly lease rate subject to MEA’s minimum benefits policy</t>
    </r>
    <r>
      <rPr>
        <sz val="11"/>
        <color theme="1"/>
        <rFont val="Calibri"/>
        <family val="2"/>
        <scheme val="minor"/>
      </rPr>
      <t xml:space="preserve"> (for
comparison with Maximum Offer) </t>
    </r>
    <r>
      <rPr>
        <b/>
        <sz val="11"/>
        <color theme="1"/>
        <rFont val="Calibri"/>
        <family val="2"/>
        <scheme val="minor"/>
      </rPr>
      <t>[$/mo]</t>
    </r>
  </si>
  <si>
    <t>Maximum Offer: First-Month Lease Payment subject to MEA's policy [$/mo]</t>
  </si>
  <si>
    <t>Net Present Value 
(Cost to Customer)</t>
  </si>
  <si>
    <t>PPA</t>
  </si>
  <si>
    <t>Lease</t>
  </si>
  <si>
    <t>Maximum-Equivalent Offer Calculator: PPA</t>
  </si>
  <si>
    <t>System Annual Degradation Rate [%]</t>
  </si>
  <si>
    <t>PPA and Lease Term, Expected System Lifespan (25-Year Maximum) [yrs]</t>
  </si>
  <si>
    <t>PPA Inputs</t>
  </si>
  <si>
    <r>
      <t xml:space="preserve">Maximum-Offer: First Year PPA Rate </t>
    </r>
    <r>
      <rPr>
        <u/>
        <sz val="11"/>
        <color theme="1"/>
        <rFont val="Calibri"/>
        <family val="2"/>
        <scheme val="minor"/>
      </rPr>
      <t>with escalator</t>
    </r>
    <r>
      <rPr>
        <sz val="11"/>
        <color theme="1"/>
        <rFont val="Calibri"/>
        <family val="2"/>
        <scheme val="minor"/>
      </rPr>
      <t xml:space="preserve"> [$/kWh]</t>
    </r>
  </si>
  <si>
    <t>The MEA grant is authorized to the contractor, in addition to
other federal and state incentives, allowing the contractor to
provide a discounted PPA rate to the resident</t>
  </si>
  <si>
    <t>PPA rate (as appears on the contract) [$/kWh]</t>
  </si>
  <si>
    <t>Non-solar costs incorporated into the PPA rate (enter $0 if
PPA rate is reflective of solar-related costs only) [$]</t>
  </si>
  <si>
    <r>
      <t xml:space="preserve">PPA rate subject to MEA’s minimum benefits policy </t>
    </r>
    <r>
      <rPr>
        <sz val="11"/>
        <color theme="1"/>
        <rFont val="Calibri"/>
        <family val="2"/>
        <scheme val="minor"/>
      </rPr>
      <t xml:space="preserve">(for
comparison with Maximum Offer) </t>
    </r>
    <r>
      <rPr>
        <b/>
        <sz val="11"/>
        <color theme="1"/>
        <rFont val="Calibri"/>
        <family val="2"/>
        <scheme val="minor"/>
      </rPr>
      <t>[$/kWh]</t>
    </r>
  </si>
  <si>
    <t>Maximum Offer: First-Year PPA Rate subject to MEA's policy [$/kWh]</t>
  </si>
  <si>
    <t>Maximum-Equivalent Offer Calculator: Loan</t>
  </si>
  <si>
    <t>Loan Cost [$/yr]</t>
  </si>
  <si>
    <t>Loan Term, Expected System Lifespan (25-Year Maximum) [yrs]</t>
  </si>
  <si>
    <t>Loan Inputs</t>
  </si>
  <si>
    <r>
      <t xml:space="preserve">Maximum-Offer: First Year Loan Rate </t>
    </r>
    <r>
      <rPr>
        <u/>
        <sz val="11"/>
        <color theme="1"/>
        <rFont val="Calibri"/>
        <family val="2"/>
        <scheme val="minor"/>
      </rPr>
      <t>with escalator</t>
    </r>
    <r>
      <rPr>
        <sz val="11"/>
        <color theme="1"/>
        <rFont val="Calibri"/>
        <family val="2"/>
        <scheme val="minor"/>
      </rPr>
      <t xml:space="preserve"> [$/kWh]</t>
    </r>
  </si>
  <si>
    <t>Loan Term (25-Year Maximum) [yrs]</t>
  </si>
  <si>
    <t>Loan Interest Rate (as appears on the contract) [%]</t>
  </si>
  <si>
    <t>Total System Cost (as appears on the contract) [$]</t>
  </si>
  <si>
    <t>Non-solar costs (enter $0 if all costs are solar-related) [$]</t>
  </si>
  <si>
    <t>MEA grant amount to the resident (enter $0 if the grant is authorized to the contractor instead) [$]</t>
  </si>
  <si>
    <r>
      <t xml:space="preserve">Total Loan Principal subject to MEA’s minimum benefits policy </t>
    </r>
    <r>
      <rPr>
        <sz val="11"/>
        <color theme="1"/>
        <rFont val="Calibri"/>
        <family val="2"/>
        <scheme val="minor"/>
      </rPr>
      <t>(for comparison with Maximum Offer)</t>
    </r>
    <r>
      <rPr>
        <b/>
        <sz val="11"/>
        <color theme="1"/>
        <rFont val="Calibri"/>
        <family val="2"/>
        <scheme val="minor"/>
      </rPr>
      <t xml:space="preserve"> [$]</t>
    </r>
  </si>
  <si>
    <t>Maximum Offer: Loan Principal subject to MEA's policy [$]</t>
  </si>
  <si>
    <t>Maximum Offer: Loan Payment subject to MEA's policy [$/mo]</t>
  </si>
  <si>
    <t>Loan</t>
  </si>
  <si>
    <t>Maximum-Equivalent Offer Calculator: System Purchase</t>
  </si>
  <si>
    <t>Expected System Lifespan (25-Year Maximum) [yrs]</t>
  </si>
  <si>
    <t>System Purchase Inputs</t>
  </si>
  <si>
    <t>City of Hagerstown Light Department</t>
  </si>
  <si>
    <t>Total System Cost (as appears on the contract, or internally valued) [$]</t>
  </si>
  <si>
    <t>MEA grant amount to the resident (enter $0 if the
grant is authorized to the contractor instead) [$]</t>
  </si>
  <si>
    <r>
      <t xml:space="preserve">Total Cost subject to MEA’s minimum benefits policy </t>
    </r>
    <r>
      <rPr>
        <sz val="11"/>
        <color theme="1"/>
        <rFont val="Calibri"/>
        <family val="2"/>
        <scheme val="minor"/>
      </rPr>
      <t>(for comparison with Maximum Offer)</t>
    </r>
    <r>
      <rPr>
        <b/>
        <sz val="11"/>
        <color theme="1"/>
        <rFont val="Calibri"/>
        <family val="2"/>
        <scheme val="minor"/>
      </rPr>
      <t xml:space="preserve"> [$]</t>
    </r>
  </si>
  <si>
    <t>Maximum Offer: System Purchase Cost subject to MEA's policy [$]</t>
  </si>
  <si>
    <t>PPA / System Purchase</t>
  </si>
  <si>
    <t>Current Avoidable Rate ($/kWh)</t>
  </si>
  <si>
    <r>
      <t xml:space="preserve">Maximum Offer: first year PPA rate
</t>
    </r>
    <r>
      <rPr>
        <u/>
        <sz val="11"/>
        <color theme="1"/>
        <rFont val="Calibri"/>
        <family val="2"/>
        <scheme val="minor"/>
      </rPr>
      <t>without PPA escalator</t>
    </r>
    <r>
      <rPr>
        <sz val="11"/>
        <color theme="1"/>
        <rFont val="Calibri"/>
        <family val="2"/>
        <scheme val="minor"/>
      </rPr>
      <t xml:space="preserve"> ($/kWh) </t>
    </r>
  </si>
  <si>
    <r>
      <t xml:space="preserve">Maximum Offer: first year PPA rate
</t>
    </r>
    <r>
      <rPr>
        <u/>
        <sz val="11"/>
        <color theme="1"/>
        <rFont val="Calibri"/>
        <family val="2"/>
        <scheme val="minor"/>
      </rPr>
      <t>with PPA escalator</t>
    </r>
    <r>
      <rPr>
        <sz val="11"/>
        <color theme="1"/>
        <rFont val="Calibri"/>
        <family val="2"/>
        <scheme val="minor"/>
      </rPr>
      <t xml:space="preserve"> ($/kWh) </t>
    </r>
  </si>
  <si>
    <t>Potomac Edison</t>
  </si>
  <si>
    <t>Southern Maryland Electric Cooperative, Inc.</t>
  </si>
  <si>
    <t>SCHEDULE R - RESIDENTIAL SERVICE</t>
  </si>
  <si>
    <t>Berlin Municipal Electric Plant</t>
  </si>
  <si>
    <t>Easton Utilities Commission</t>
  </si>
  <si>
    <t>New HLD Tariff2 version for PSC (D0009799.DOC;1)</t>
  </si>
  <si>
    <t>Thurmont Municipal Light Company</t>
  </si>
  <si>
    <t>Thurmont Electric Service Tariff - Thurmont Draft 2</t>
  </si>
  <si>
    <t>Williamsport Municipal Electric Light System</t>
  </si>
  <si>
    <t>Utilities - Town of Williamsport</t>
  </si>
  <si>
    <t>A&amp;N Electric Cooperative</t>
  </si>
  <si>
    <t>ANEC-A-1-Residential.pdf</t>
  </si>
  <si>
    <t>Choptank Electric Cooperative Inc</t>
  </si>
  <si>
    <t>Microsoft Word - 03.01.2025 Choptank Electric Tariff and Terms and Conditions</t>
  </si>
  <si>
    <t>Somerset Rural Electric Cooperative</t>
  </si>
  <si>
    <t>Current Rates | Somerset Rural Electric Cooperative, Inc</t>
  </si>
  <si>
    <t>Dropdown Lists</t>
  </si>
  <si>
    <t>No</t>
  </si>
  <si>
    <t>Utility Service Territory</t>
  </si>
  <si>
    <t>Avoidable Rate ($/kWh)</t>
  </si>
  <si>
    <t>Maximum Offer: first year PPA rate ($/kWh) (No Escalator)</t>
  </si>
  <si>
    <t>Maximum Offer: first year PPA rate ($/kWh) (Escalator)</t>
  </si>
  <si>
    <t>Delmarva Power</t>
  </si>
  <si>
    <t>Other</t>
  </si>
  <si>
    <t>System Compliance Messages</t>
  </si>
  <si>
    <t>The system design meets MEA program requirements.</t>
  </si>
  <si>
    <t>The system design does not meet MEA program requirements.</t>
  </si>
  <si>
    <t>Version No.</t>
  </si>
  <si>
    <t>Date</t>
  </si>
  <si>
    <t>Changes</t>
  </si>
  <si>
    <t>Initial Calculator and Guidance Document development</t>
  </si>
  <si>
    <t>Addition of smaller cooperatives, municipal utilities, and “Other” option</t>
  </si>
  <si>
    <t>Addition of change log, updated utility tariff information</t>
  </si>
  <si>
    <t>Source 1</t>
  </si>
  <si>
    <t>Source 2</t>
  </si>
  <si>
    <t>Date of Last Calculator Refresh</t>
  </si>
  <si>
    <t>Electric Tariff Effective Date</t>
  </si>
  <si>
    <t>Electric Tariff Update Frequency</t>
  </si>
  <si>
    <t>Notes</t>
  </si>
  <si>
    <t>https://www.pepco.com/my-account/my-dashboard/rates-tariffs/maryland/current-tariffs</t>
  </si>
  <si>
    <t>https://www.pepco.com/my-account/my-service/customer-choice-md/price-to-compare</t>
  </si>
  <si>
    <t>Seasonal (Oct-May, Jun-Sep)</t>
  </si>
  <si>
    <t>https://www.bge.com/my-account/my-dashboard/rates-tariffs/electric-service/electric-rates-information</t>
  </si>
  <si>
    <t>Between two and four months (Oct-Nov, Dec-Feb, Mar-May, Jun-Sep)</t>
  </si>
  <si>
    <t>https://www.delmarva.com/my-account/my-dashboard/rates-tariffs/maryland/current-tariffs</t>
  </si>
  <si>
    <t>https://www.firstenergycorp.com/customer_choice/maryland/maryland_tariffs.html</t>
  </si>
  <si>
    <t>https://www.smeco.coop/my-account/general-information/rates-fees/</t>
  </si>
  <si>
    <t>Seasonal (Oct-Apr, May-Sep)</t>
  </si>
  <si>
    <t>https://berlinmd.gov/department/electric/</t>
  </si>
  <si>
    <t>https://berlinmd.gov/berlin-electric-utility-customer-information-guide/</t>
  </si>
  <si>
    <t>TBD, appears to updated as needed. The most recent info (non-tariff) is from 9/2024.</t>
  </si>
  <si>
    <t>Most recent Power Cost Adjustment (PCA) is from 9/2024, using 2022 average residential rates (without line item breakouts).</t>
  </si>
  <si>
    <t>https://eastonutilities.com/wp-content/info/electric-tariff.pdf</t>
  </si>
  <si>
    <t>TBD, appears to be biannual from published tariff.</t>
  </si>
  <si>
    <t>https://www.hagerstownmd.org/DocumentCenter/View/6703/RPT_PPCA-12_Month?bidId=</t>
  </si>
  <si>
    <t>Annual</t>
  </si>
  <si>
    <t>https://thurmont.com/2332/Electric-Department</t>
  </si>
  <si>
    <t>TBD, appears to be updated as needed.</t>
  </si>
  <si>
    <t>No PCA data available, published electric tariff was last updated in 2020 (which may still be applicable).</t>
  </si>
  <si>
    <t>https://www.anec.com/your-account/anec-rates/</t>
  </si>
  <si>
    <t>https://choptankelectric.coop/rates</t>
  </si>
  <si>
    <t>Reference Values</t>
  </si>
  <si>
    <t>Choptank Electric Cooperative, Inc.</t>
  </si>
  <si>
    <t>Rolled back major utility tariff information to match V1, substituted macro for in-workbook formulas. Loan formula adjusted to compound interest monthly, compared to annually in V1-3.</t>
  </si>
  <si>
    <t>Rolled back loan formula to compound anually, extended major utility tariff rates to maximum calculated decimal value (as opposed to rounding to $0.000/kWh), in alignment with original calculator version.</t>
  </si>
  <si>
    <t>No generation/energy supply costs provided (changes month to month), only distribution rates. Requires phone call to 410-822-6110 for "Energy Charge" rate.</t>
  </si>
  <si>
    <t xml:space="preserve">For Jan 2026, Published rates from 2025 used (inclusive of PCA) - cadence for this utility is Mar/Apr new rates are decided. </t>
  </si>
  <si>
    <t>https://www.somersetrec.com/2026-rate-increase</t>
  </si>
  <si>
    <t>Updated 01/28/26 - All Utilities</t>
  </si>
  <si>
    <t>Loan formula adjusted to compound interest monthly, rounded major utility tariff rates to $0.000/kWh. Confirmed current utility rates and riders. Removed ITC input from System Purchase and Loan tabs and adjusted formulas to reflect their removal.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</si>
</sst>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_(&quot;$&quot;* #,##0.000_);_(&quot;$&quot;* \(#,##0.000\);_(&quot;$&quot;* &quot;-&quot;??_);_(@_)"/>
    <numFmt numFmtId="166" formatCode="_(&quot;$&quot;* #,##0_);_(&quot;$&quot;* \(#,##0\);_(&quot;$&quot;* &quot;-&quot;??_);_(@_)"/>
    <numFmt numFmtId="167" formatCode="_(&quot;$&quot;* #,##0.000_);_(&quot;$&quot;* \(#,##0.000\);_(&quot;$&quot;* &quot;-&quot;???_);_(@_)"/>
    <numFmt numFmtId="168" formatCode="_(* #,##0_);_(* \(#,##0\);_(* &quot;-&quot;??_);_(@_)"/>
    <numFmt numFmtId="169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1" fillId="6" borderId="7" xfId="0" applyFont="1" applyFill="1" applyBorder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0" fontId="2" fillId="3" borderId="7" xfId="0" applyFont="1" applyFill="1" applyBorder="1"/>
    <xf numFmtId="0" fontId="2" fillId="3" borderId="4" xfId="0" applyFont="1" applyFill="1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7" borderId="7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6" fontId="0" fillId="0" borderId="0" xfId="0" applyNumberFormat="1" applyAlignment="1">
      <alignment horizontal="center"/>
    </xf>
    <xf numFmtId="5" fontId="0" fillId="0" borderId="0" xfId="0" applyNumberFormat="1"/>
    <xf numFmtId="9" fontId="0" fillId="0" borderId="0" xfId="0" applyNumberFormat="1"/>
    <xf numFmtId="8" fontId="0" fillId="0" borderId="0" xfId="0" applyNumberFormat="1" applyAlignment="1">
      <alignment horizontal="center"/>
    </xf>
    <xf numFmtId="167" fontId="0" fillId="0" borderId="0" xfId="0" applyNumberFormat="1"/>
    <xf numFmtId="44" fontId="0" fillId="0" borderId="0" xfId="0" applyNumberFormat="1"/>
    <xf numFmtId="6" fontId="0" fillId="0" borderId="0" xfId="0" applyNumberFormat="1"/>
    <xf numFmtId="165" fontId="0" fillId="0" borderId="0" xfId="0" applyNumberFormat="1"/>
    <xf numFmtId="7" fontId="0" fillId="0" borderId="0" xfId="0" applyNumberFormat="1"/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5" borderId="4" xfId="0" applyFont="1" applyFill="1" applyBorder="1" applyAlignment="1">
      <alignment horizontal="center" wrapText="1"/>
    </xf>
    <xf numFmtId="6" fontId="1" fillId="8" borderId="5" xfId="0" applyNumberFormat="1" applyFont="1" applyFill="1" applyBorder="1"/>
    <xf numFmtId="6" fontId="1" fillId="8" borderId="8" xfId="0" applyNumberFormat="1" applyFont="1" applyFill="1" applyBorder="1"/>
    <xf numFmtId="0" fontId="0" fillId="9" borderId="6" xfId="0" applyFill="1" applyBorder="1" applyAlignment="1">
      <alignment horizontal="right"/>
    </xf>
    <xf numFmtId="0" fontId="0" fillId="0" borderId="3" xfId="0" applyBorder="1" applyAlignment="1">
      <alignment horizontal="center"/>
    </xf>
    <xf numFmtId="5" fontId="0" fillId="0" borderId="3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166" fontId="0" fillId="0" borderId="18" xfId="0" applyNumberFormat="1" applyBorder="1" applyAlignment="1">
      <alignment horizontal="right"/>
    </xf>
    <xf numFmtId="5" fontId="0" fillId="0" borderId="6" xfId="0" applyNumberFormat="1" applyBorder="1" applyAlignment="1">
      <alignment horizontal="right"/>
    </xf>
    <xf numFmtId="0" fontId="4" fillId="0" borderId="3" xfId="0" applyFont="1" applyBorder="1" applyAlignment="1">
      <alignment horizontal="center"/>
    </xf>
    <xf numFmtId="5" fontId="4" fillId="0" borderId="3" xfId="0" applyNumberFormat="1" applyFont="1" applyBorder="1"/>
    <xf numFmtId="5" fontId="0" fillId="0" borderId="10" xfId="0" applyNumberFormat="1" applyBorder="1"/>
    <xf numFmtId="1" fontId="4" fillId="0" borderId="13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5" fontId="4" fillId="0" borderId="5" xfId="0" applyNumberFormat="1" applyFont="1" applyBorder="1"/>
    <xf numFmtId="5" fontId="0" fillId="0" borderId="11" xfId="0" applyNumberFormat="1" applyBorder="1"/>
    <xf numFmtId="1" fontId="0" fillId="0" borderId="14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0" fontId="0" fillId="9" borderId="6" xfId="0" applyNumberFormat="1" applyFill="1" applyBorder="1" applyAlignment="1">
      <alignment horizontal="right"/>
    </xf>
    <xf numFmtId="0" fontId="0" fillId="0" borderId="0" xfId="0" applyAlignment="1">
      <alignment wrapText="1"/>
    </xf>
    <xf numFmtId="44" fontId="0" fillId="0" borderId="0" xfId="0" applyNumberFormat="1" applyAlignment="1">
      <alignment horizontal="left" wrapText="1"/>
    </xf>
    <xf numFmtId="0" fontId="0" fillId="0" borderId="2" xfId="0" applyBorder="1"/>
    <xf numFmtId="0" fontId="0" fillId="0" borderId="0" xfId="0" applyAlignment="1">
      <alignment horizontal="left" wrapText="1"/>
    </xf>
    <xf numFmtId="10" fontId="0" fillId="9" borderId="8" xfId="1" applyNumberFormat="1" applyFont="1" applyFill="1" applyBorder="1" applyAlignment="1">
      <alignment horizontal="right"/>
    </xf>
    <xf numFmtId="165" fontId="0" fillId="5" borderId="6" xfId="0" applyNumberFormat="1" applyFill="1" applyBorder="1"/>
    <xf numFmtId="0" fontId="0" fillId="0" borderId="3" xfId="0" applyBorder="1" applyAlignment="1">
      <alignment wrapText="1"/>
    </xf>
    <xf numFmtId="8" fontId="0" fillId="0" borderId="3" xfId="0" applyNumberFormat="1" applyBorder="1"/>
    <xf numFmtId="0" fontId="0" fillId="0" borderId="5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44" fontId="1" fillId="5" borderId="8" xfId="0" applyNumberFormat="1" applyFont="1" applyFill="1" applyBorder="1"/>
    <xf numFmtId="0" fontId="0" fillId="10" borderId="16" xfId="0" applyFill="1" applyBorder="1"/>
    <xf numFmtId="0" fontId="0" fillId="10" borderId="15" xfId="0" applyFill="1" applyBorder="1"/>
    <xf numFmtId="0" fontId="4" fillId="10" borderId="15" xfId="0" applyFont="1" applyFill="1" applyBorder="1"/>
    <xf numFmtId="0" fontId="4" fillId="10" borderId="17" xfId="0" applyFont="1" applyFill="1" applyBorder="1"/>
    <xf numFmtId="0" fontId="0" fillId="0" borderId="22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6" fontId="1" fillId="5" borderId="4" xfId="0" applyNumberFormat="1" applyFont="1" applyFill="1" applyBorder="1"/>
    <xf numFmtId="166" fontId="1" fillId="5" borderId="8" xfId="0" applyNumberFormat="1" applyFont="1" applyFill="1" applyBorder="1"/>
    <xf numFmtId="0" fontId="1" fillId="0" borderId="3" xfId="0" applyFont="1" applyBorder="1" applyAlignment="1">
      <alignment wrapText="1"/>
    </xf>
    <xf numFmtId="166" fontId="1" fillId="5" borderId="6" xfId="0" applyNumberFormat="1" applyFont="1" applyFill="1" applyBorder="1"/>
    <xf numFmtId="165" fontId="1" fillId="5" borderId="4" xfId="0" applyNumberFormat="1" applyFont="1" applyFill="1" applyBorder="1"/>
    <xf numFmtId="0" fontId="1" fillId="0" borderId="5" xfId="0" applyFont="1" applyBorder="1" applyAlignment="1">
      <alignment vertical="center"/>
    </xf>
    <xf numFmtId="165" fontId="1" fillId="5" borderId="8" xfId="0" applyNumberFormat="1" applyFont="1" applyFill="1" applyBorder="1"/>
    <xf numFmtId="0" fontId="0" fillId="11" borderId="0" xfId="0" applyFill="1"/>
    <xf numFmtId="0" fontId="0" fillId="0" borderId="2" xfId="0" applyBorder="1" applyAlignment="1">
      <alignment wrapText="1"/>
    </xf>
    <xf numFmtId="169" fontId="0" fillId="0" borderId="2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11" borderId="0" xfId="0" applyFill="1" applyAlignment="1">
      <alignment horizontal="center"/>
    </xf>
    <xf numFmtId="0" fontId="7" fillId="11" borderId="31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168" fontId="0" fillId="4" borderId="6" xfId="2" applyNumberFormat="1" applyFont="1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166" fontId="0" fillId="4" borderId="6" xfId="0" applyNumberFormat="1" applyFill="1" applyBorder="1" applyProtection="1">
      <protection locked="0"/>
    </xf>
    <xf numFmtId="10" fontId="0" fillId="4" borderId="6" xfId="1" applyNumberFormat="1" applyFont="1" applyFill="1" applyBorder="1" applyAlignment="1" applyProtection="1">
      <alignment horizontal="right"/>
      <protection locked="0"/>
    </xf>
    <xf numFmtId="44" fontId="0" fillId="4" borderId="8" xfId="0" applyNumberFormat="1" applyFill="1" applyBorder="1" applyAlignment="1" applyProtection="1">
      <alignment horizontal="right"/>
      <protection locked="0"/>
    </xf>
    <xf numFmtId="0" fontId="7" fillId="11" borderId="0" xfId="0" applyFont="1" applyFill="1" applyAlignment="1">
      <alignment horizontal="center"/>
    </xf>
    <xf numFmtId="10" fontId="0" fillId="9" borderId="8" xfId="1" applyNumberFormat="1" applyFont="1" applyFill="1" applyBorder="1" applyAlignment="1" applyProtection="1">
      <alignment horizontal="right"/>
    </xf>
    <xf numFmtId="0" fontId="0" fillId="0" borderId="5" xfId="0" applyBorder="1"/>
    <xf numFmtId="0" fontId="0" fillId="0" borderId="7" xfId="0" applyBorder="1" applyAlignment="1">
      <alignment wrapText="1"/>
    </xf>
    <xf numFmtId="44" fontId="1" fillId="5" borderId="4" xfId="0" applyNumberFormat="1" applyFont="1" applyFill="1" applyBorder="1"/>
    <xf numFmtId="165" fontId="0" fillId="4" borderId="6" xfId="0" applyNumberFormat="1" applyFill="1" applyBorder="1" applyAlignment="1" applyProtection="1">
      <alignment horizontal="right"/>
      <protection locked="0"/>
    </xf>
    <xf numFmtId="166" fontId="0" fillId="4" borderId="8" xfId="0" applyNumberFormat="1" applyFill="1" applyBorder="1" applyProtection="1">
      <protection locked="0"/>
    </xf>
    <xf numFmtId="1" fontId="4" fillId="4" borderId="6" xfId="0" applyNumberFormat="1" applyFont="1" applyFill="1" applyBorder="1" applyAlignment="1" applyProtection="1">
      <alignment horizontal="right"/>
      <protection locked="0"/>
    </xf>
    <xf numFmtId="10" fontId="0" fillId="4" borderId="26" xfId="0" applyNumberFormat="1" applyFill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0" fillId="0" borderId="0" xfId="0" applyNumberFormat="1"/>
    <xf numFmtId="0" fontId="10" fillId="0" borderId="2" xfId="3" applyBorder="1" applyAlignment="1">
      <alignment wrapText="1"/>
    </xf>
    <xf numFmtId="3" fontId="10" fillId="0" borderId="2" xfId="3" applyNumberFormat="1" applyBorder="1" applyAlignment="1">
      <alignment horizontal="left" wrapText="1"/>
    </xf>
    <xf numFmtId="0" fontId="1" fillId="0" borderId="27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16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169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169" fontId="0" fillId="0" borderId="33" xfId="0" applyNumberFormat="1" applyBorder="1" applyAlignment="1">
      <alignment wrapText="1"/>
    </xf>
    <xf numFmtId="0" fontId="10" fillId="0" borderId="33" xfId="3" applyBorder="1" applyAlignment="1">
      <alignment wrapText="1"/>
    </xf>
    <xf numFmtId="0" fontId="0" fillId="0" borderId="33" xfId="0" applyBorder="1" applyAlignment="1">
      <alignment wrapText="1"/>
    </xf>
    <xf numFmtId="14" fontId="0" fillId="0" borderId="33" xfId="0" applyNumberForma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169" fontId="0" fillId="0" borderId="1" xfId="0" applyNumberFormat="1" applyBorder="1" applyAlignment="1">
      <alignment wrapText="1"/>
    </xf>
    <xf numFmtId="0" fontId="10" fillId="0" borderId="1" xfId="3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12" borderId="9" xfId="0" applyFont="1" applyFill="1" applyBorder="1" applyAlignment="1">
      <alignment horizontal="center" wrapText="1"/>
    </xf>
    <xf numFmtId="169" fontId="0" fillId="12" borderId="2" xfId="0" applyNumberFormat="1" applyFill="1" applyBorder="1" applyAlignment="1">
      <alignment wrapText="1"/>
    </xf>
    <xf numFmtId="169" fontId="0" fillId="12" borderId="33" xfId="0" applyNumberFormat="1" applyFill="1" applyBorder="1" applyAlignment="1">
      <alignment wrapText="1"/>
    </xf>
    <xf numFmtId="169" fontId="0" fillId="12" borderId="1" xfId="0" applyNumberFormat="1" applyFill="1" applyBorder="1" applyAlignment="1">
      <alignment wrapText="1"/>
    </xf>
    <xf numFmtId="8" fontId="4" fillId="0" borderId="0" xfId="0" applyNumberFormat="1" applyFont="1"/>
    <xf numFmtId="8" fontId="1" fillId="5" borderId="8" xfId="0" applyNumberFormat="1" applyFont="1" applyFill="1" applyBorder="1"/>
    <xf numFmtId="169" fontId="0" fillId="0" borderId="15" xfId="0" applyNumberFormat="1" applyBorder="1" applyAlignment="1">
      <alignment horizontal="center"/>
    </xf>
    <xf numFmtId="0" fontId="7" fillId="11" borderId="31" xfId="0" applyFont="1" applyFill="1" applyBorder="1" applyAlignment="1">
      <alignment vertical="center"/>
    </xf>
    <xf numFmtId="0" fontId="7" fillId="11" borderId="0" xfId="0" applyFont="1" applyFill="1" applyAlignment="1">
      <alignment vertical="center"/>
    </xf>
    <xf numFmtId="0" fontId="1" fillId="0" borderId="32" xfId="0" applyFont="1" applyBorder="1" applyAlignment="1">
      <alignment horizontal="center" wrapText="1"/>
    </xf>
    <xf numFmtId="6" fontId="1" fillId="8" borderId="5" xfId="0" applyNumberFormat="1" applyFont="1" applyFill="1" applyBorder="1" applyAlignment="1">
      <alignment horizontal="center"/>
    </xf>
    <xf numFmtId="6" fontId="1" fillId="8" borderId="8" xfId="0" applyNumberFormat="1" applyFont="1" applyFill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7" borderId="20" xfId="0" applyFont="1" applyFill="1" applyBorder="1" applyAlignment="1">
      <alignment horizontal="center" wrapText="1"/>
    </xf>
    <xf numFmtId="0" fontId="1" fillId="7" borderId="21" xfId="0" applyFont="1" applyFill="1" applyBorder="1" applyAlignment="1">
      <alignment horizontal="center" wrapText="1"/>
    </xf>
    <xf numFmtId="0" fontId="7" fillId="11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10">
    <dxf>
      <font>
        <b/>
        <i val="0"/>
        <strike val="0"/>
      </font>
      <fill>
        <patternFill>
          <bgColor rgb="FFFDF70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b/>
        <i val="0"/>
        <strike val="0"/>
      </font>
      <fill>
        <patternFill>
          <bgColor rgb="FFFDF70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b/>
        <i val="0"/>
        <strike val="0"/>
      </font>
      <fill>
        <patternFill>
          <bgColor rgb="FFFDF70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DF70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F703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aunton, Jonathon" id="{71C8AAEB-A91D-425B-AC04-4A2E4433B828}" userId="S::Jonathon.Staunton@aecom.com::e072145a-b82c-46de-8018-2ba88879cdd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F2F7C3-16F3-4747-9B70-970D41609810}" name="Table1" displayName="Table1" ref="A1:C24" totalsRowShown="0">
  <autoFilter ref="A1:C24" xr:uid="{98285F87-6E15-42C5-A120-0108736B0EED}"/>
  <tableColumns count="3">
    <tableColumn id="1" xr3:uid="{F4B33961-2CF9-44A8-8169-BF8BC6C03F90}" name="Version No."/>
    <tableColumn id="2" xr3:uid="{2086A1DC-B38B-441F-8219-A59D1FD1BDDD}" name="Date"/>
    <tableColumn id="3" xr3:uid="{C6C866FB-2E5B-449F-A184-0BBE6F16AC44}" name="Changes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" dT="2025-11-07T19:12:36.87" personId="{71C8AAEB-A91D-425B-AC04-4A2E4433B828}" id="{A0D07DBB-6101-40D3-91C0-163D19533B4A}">
    <text>The most recent date the utility updated their main residential tariff and riders. Does not represent monthly updates (like the Power Cost Adjustment) or utilities with month-to-month supply cost changes.</text>
  </threadedComment>
  <threadedComment ref="J6" dT="2025-11-07T19:16:31.85" personId="{71C8AAEB-A91D-425B-AC04-4A2E4433B828}" id="{2C570923-2AE6-4A9B-A72F-57EA46816C43}">
    <text>Cadence that the utility updates their electric tariff. Cost of supply/generation rates may be updated more frequently (monthly) but not captured in the tariffs or regularly published by the utilities.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pco.com/my-account/my-dashboard/rates-tariffs/maryland/current-tariffs" TargetMode="External"/><Relationship Id="rId13" Type="http://schemas.openxmlformats.org/officeDocument/2006/relationships/hyperlink" Target="https://berlinmd.gov/berlin-electric-utility-customer-information-guide/" TargetMode="External"/><Relationship Id="rId18" Type="http://schemas.openxmlformats.org/officeDocument/2006/relationships/hyperlink" Target="https://choptankelectric.coop/rates" TargetMode="External"/><Relationship Id="rId3" Type="http://schemas.openxmlformats.org/officeDocument/2006/relationships/hyperlink" Target="https://www.choptankelectric.coop/sites/default/files/03.01.2025%20Choptank%20Electric%20Tariff%20and%20Terms%20and%20Conditions.pdf" TargetMode="External"/><Relationship Id="rId21" Type="http://schemas.openxmlformats.org/officeDocument/2006/relationships/hyperlink" Target="https://www.somersetrec.com/2026-rate-increase" TargetMode="External"/><Relationship Id="rId7" Type="http://schemas.openxmlformats.org/officeDocument/2006/relationships/hyperlink" Target="https://williamsportmd.gov/community/utilities/" TargetMode="External"/><Relationship Id="rId12" Type="http://schemas.openxmlformats.org/officeDocument/2006/relationships/hyperlink" Target="https://www.firstenergycorp.com/customer_choice/maryland/maryland_tariffs.html" TargetMode="External"/><Relationship Id="rId17" Type="http://schemas.openxmlformats.org/officeDocument/2006/relationships/hyperlink" Target="https://www.anec.com/your-account/anec-rates/" TargetMode="External"/><Relationship Id="rId25" Type="http://schemas.microsoft.com/office/2017/10/relationships/threadedComment" Target="../threadedComments/threadedComment1.xml"/><Relationship Id="rId2" Type="http://schemas.openxmlformats.org/officeDocument/2006/relationships/hyperlink" Target="https://thurmont.com/DocumentCenter/View/1576/Final---Electric-Service-Tariff---CLN---2020-04-03" TargetMode="External"/><Relationship Id="rId16" Type="http://schemas.openxmlformats.org/officeDocument/2006/relationships/hyperlink" Target="https://thurmont.com/2332/Electric-Department" TargetMode="External"/><Relationship Id="rId20" Type="http://schemas.openxmlformats.org/officeDocument/2006/relationships/hyperlink" Target="https://berlinmd.gov/department/electric/" TargetMode="External"/><Relationship Id="rId1" Type="http://schemas.openxmlformats.org/officeDocument/2006/relationships/hyperlink" Target="https://www.hagerstownmd.org/DocumentCenter/View/5379/HLD-Tariff?bidId=" TargetMode="External"/><Relationship Id="rId6" Type="http://schemas.openxmlformats.org/officeDocument/2006/relationships/hyperlink" Target="https://www.smeco.coop/wp-content/uploads/SCHEDULE-R.pdf" TargetMode="External"/><Relationship Id="rId11" Type="http://schemas.openxmlformats.org/officeDocument/2006/relationships/hyperlink" Target="https://www.delmarva.com/my-account/my-dashboard/rates-tariffs/maryland/current-tariffs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www.somersetrec.com/current-rates" TargetMode="External"/><Relationship Id="rId15" Type="http://schemas.openxmlformats.org/officeDocument/2006/relationships/hyperlink" Target="https://www.hagerstownmd.org/DocumentCenter/View/6703/RPT_PPCA-12_Month?bidId=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www.bge.com/my-account/my-dashboard/rates-tariffs/electric-service/electric-rates-information" TargetMode="External"/><Relationship Id="rId19" Type="http://schemas.openxmlformats.org/officeDocument/2006/relationships/hyperlink" Target="https://www.smeco.coop/my-account/general-information/rates-fees/" TargetMode="External"/><Relationship Id="rId4" Type="http://schemas.openxmlformats.org/officeDocument/2006/relationships/hyperlink" Target="https://www.anec.com/wp-content/uploads/ANEC-A-1-Residential.pdf" TargetMode="External"/><Relationship Id="rId9" Type="http://schemas.openxmlformats.org/officeDocument/2006/relationships/hyperlink" Target="https://www.pepco.com/my-account/my-service/customer-choice-md/price-to-compare" TargetMode="External"/><Relationship Id="rId14" Type="http://schemas.openxmlformats.org/officeDocument/2006/relationships/hyperlink" Target="https://eastonutilities.com/wp-content/info/electric-tariff.pdf" TargetMode="External"/><Relationship Id="rId22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3278-B3EA-48DC-94FE-CE22699B13D4}">
  <sheetPr codeName="Sheet2"/>
  <dimension ref="A1:J47"/>
  <sheetViews>
    <sheetView showGridLines="0" tabSelected="1" zoomScale="145" zoomScaleNormal="145" workbookViewId="0"/>
  </sheetViews>
  <sheetFormatPr defaultColWidth="10" defaultRowHeight="14.5" x14ac:dyDescent="0.35"/>
  <cols>
    <col min="1" max="1" width="6.1796875" style="1" customWidth="1"/>
    <col min="2" max="2" width="64.453125" bestFit="1" customWidth="1"/>
    <col min="3" max="3" width="38.36328125" bestFit="1" customWidth="1"/>
    <col min="4" max="4" width="25.08984375" customWidth="1"/>
    <col min="5" max="5" width="3.1796875" customWidth="1"/>
    <col min="6" max="7" width="12.81640625" style="1" customWidth="1"/>
    <col min="8" max="8" width="1.1796875" customWidth="1"/>
    <col min="9" max="9" width="20.54296875" customWidth="1"/>
    <col min="10" max="10" width="12.81640625" customWidth="1"/>
    <col min="11" max="11" width="4.81640625" customWidth="1"/>
    <col min="12" max="12" width="52.1796875" bestFit="1" customWidth="1"/>
    <col min="13" max="13" width="6.54296875" bestFit="1" customWidth="1"/>
    <col min="14" max="14" width="6.1796875" bestFit="1" customWidth="1"/>
    <col min="15" max="15" width="14.81640625" bestFit="1" customWidth="1"/>
    <col min="16" max="16" width="14.54296875" bestFit="1" customWidth="1"/>
  </cols>
  <sheetData>
    <row r="1" spans="1:10" ht="19" thickBot="1" x14ac:dyDescent="0.5">
      <c r="B1" s="6" t="s">
        <v>29</v>
      </c>
      <c r="G1" s="26"/>
      <c r="H1" s="27"/>
      <c r="I1" s="26"/>
      <c r="J1" s="26"/>
    </row>
    <row r="2" spans="1:10" ht="43.5" x14ac:dyDescent="0.35">
      <c r="B2" s="30" t="s">
        <v>2</v>
      </c>
      <c r="F2" s="3" t="s">
        <v>3</v>
      </c>
      <c r="G2" s="13" t="s">
        <v>4</v>
      </c>
      <c r="H2" s="65"/>
      <c r="I2" s="15" t="s">
        <v>6</v>
      </c>
      <c r="J2" s="31" t="s">
        <v>7</v>
      </c>
    </row>
    <row r="3" spans="1:10" ht="15" thickBot="1" x14ac:dyDescent="0.4">
      <c r="B3" s="30"/>
      <c r="F3" s="35">
        <v>0</v>
      </c>
      <c r="G3" s="36"/>
      <c r="H3" s="66"/>
      <c r="I3" s="37"/>
      <c r="J3" s="39"/>
    </row>
    <row r="4" spans="1:10" ht="21" x14ac:dyDescent="0.5">
      <c r="A4" s="105"/>
      <c r="B4" s="7" t="s">
        <v>8</v>
      </c>
      <c r="C4" s="8"/>
      <c r="F4" s="40">
        <f t="shared" ref="F4:F28" si="0">IF(F3&gt;=$C$7,"",F3+1)</f>
        <v>1</v>
      </c>
      <c r="G4" s="41">
        <f>J4*I4*12</f>
        <v>1762.806</v>
      </c>
      <c r="H4" s="66"/>
      <c r="I4" s="43">
        <f>C13/12</f>
        <v>929.75</v>
      </c>
      <c r="J4" s="44">
        <f>C12</f>
        <v>0.158</v>
      </c>
    </row>
    <row r="5" spans="1:10" ht="18.5" x14ac:dyDescent="0.45">
      <c r="A5" s="26">
        <v>1</v>
      </c>
      <c r="B5" s="2" t="s">
        <v>9</v>
      </c>
      <c r="C5" s="52">
        <v>4.7500000000000001E-2</v>
      </c>
      <c r="F5" s="35">
        <f t="shared" si="0"/>
        <v>2</v>
      </c>
      <c r="G5" s="41">
        <f t="shared" ref="G5:G28" si="1">IF($F5&lt;&gt;"",I5*J5*12,"")</f>
        <v>1806.6117291</v>
      </c>
      <c r="H5" s="66"/>
      <c r="I5" s="45">
        <f>IF($F5&lt;&gt;"",I4*(1-$C$6),"")</f>
        <v>925.10125000000005</v>
      </c>
      <c r="J5" s="46">
        <f>IF($F5&lt;&gt;"",J4*(1+$C$8),"")</f>
        <v>0.16274</v>
      </c>
    </row>
    <row r="6" spans="1:10" ht="18.5" x14ac:dyDescent="0.45">
      <c r="A6" s="26">
        <v>2</v>
      </c>
      <c r="B6" s="9" t="s">
        <v>30</v>
      </c>
      <c r="C6" s="52">
        <v>5.0000000000000001E-3</v>
      </c>
      <c r="F6" s="35">
        <f t="shared" si="0"/>
        <v>3</v>
      </c>
      <c r="G6" s="41">
        <f t="shared" si="1"/>
        <v>1851.506030568135</v>
      </c>
      <c r="H6" s="66"/>
      <c r="I6" s="45">
        <f t="shared" ref="I6:I28" si="2">IF($F6&lt;&gt;"",I5*(1-$C$6),"")</f>
        <v>920.47574374999999</v>
      </c>
      <c r="J6" s="46">
        <f t="shared" ref="J6:J28" si="3">IF($F6&lt;&gt;"",J5*(1+$C$8),"")</f>
        <v>0.1676222</v>
      </c>
    </row>
    <row r="7" spans="1:10" ht="18.5" x14ac:dyDescent="0.45">
      <c r="A7" s="26">
        <v>3</v>
      </c>
      <c r="B7" s="9" t="s">
        <v>31</v>
      </c>
      <c r="C7" s="34">
        <v>25</v>
      </c>
      <c r="F7" s="35">
        <f t="shared" si="0"/>
        <v>4</v>
      </c>
      <c r="G7" s="41">
        <f t="shared" si="1"/>
        <v>1897.5159554277534</v>
      </c>
      <c r="H7" s="66"/>
      <c r="I7" s="45">
        <f t="shared" si="2"/>
        <v>915.87336503124993</v>
      </c>
      <c r="J7" s="46">
        <f t="shared" si="3"/>
        <v>0.17265086600000001</v>
      </c>
    </row>
    <row r="8" spans="1:10" ht="19" thickBot="1" x14ac:dyDescent="0.5">
      <c r="A8" s="26">
        <v>4</v>
      </c>
      <c r="B8" s="10" t="s">
        <v>12</v>
      </c>
      <c r="C8" s="57">
        <v>0.03</v>
      </c>
      <c r="D8" s="26"/>
      <c r="F8" s="35">
        <f t="shared" si="0"/>
        <v>5</v>
      </c>
      <c r="G8" s="41">
        <f t="shared" si="1"/>
        <v>1944.6692269201328</v>
      </c>
      <c r="H8" s="66"/>
      <c r="I8" s="45">
        <f>IF($F8&lt;&gt;"",I7*(1-$C$6),"")</f>
        <v>911.29399820609365</v>
      </c>
      <c r="J8" s="46">
        <f t="shared" si="3"/>
        <v>0.17783039198000003</v>
      </c>
    </row>
    <row r="9" spans="1:10" ht="18.649999999999999" customHeight="1" thickBot="1" x14ac:dyDescent="0.5">
      <c r="A9" s="106"/>
      <c r="F9" s="35">
        <f t="shared" si="0"/>
        <v>6</v>
      </c>
      <c r="G9" s="41">
        <f t="shared" si="1"/>
        <v>1992.9942572090984</v>
      </c>
      <c r="H9" s="66"/>
      <c r="I9" s="45">
        <f t="shared" si="2"/>
        <v>906.73752821506321</v>
      </c>
      <c r="J9" s="46">
        <f t="shared" si="3"/>
        <v>0.18316530373940004</v>
      </c>
    </row>
    <row r="10" spans="1:10" ht="18.5" x14ac:dyDescent="0.45">
      <c r="A10" s="26"/>
      <c r="B10" s="7" t="s">
        <v>32</v>
      </c>
      <c r="C10" s="8"/>
      <c r="D10" s="141" t="str">
        <f>IF(C11="Other","Input Custom Utility Electric Rate Below ($/kWh)","")</f>
        <v/>
      </c>
      <c r="F10" s="40">
        <f t="shared" si="0"/>
        <v>7</v>
      </c>
      <c r="G10" s="41">
        <f>IF($F10&lt;&gt;"",I10*J10*12,"")</f>
        <v>2042.5201645007446</v>
      </c>
      <c r="H10" s="66"/>
      <c r="I10" s="45">
        <f t="shared" si="2"/>
        <v>902.20384057398792</v>
      </c>
      <c r="J10" s="46">
        <f t="shared" si="3"/>
        <v>0.18866026285158205</v>
      </c>
    </row>
    <row r="11" spans="1:10" ht="18.5" x14ac:dyDescent="0.45">
      <c r="A11" s="26">
        <v>5</v>
      </c>
      <c r="B11" s="9" t="s">
        <v>14</v>
      </c>
      <c r="C11" s="89" t="s">
        <v>87</v>
      </c>
      <c r="D11" s="141"/>
      <c r="F11" s="35">
        <f t="shared" si="0"/>
        <v>8</v>
      </c>
      <c r="G11" s="41">
        <f t="shared" si="1"/>
        <v>2093.276790588588</v>
      </c>
      <c r="H11" s="66"/>
      <c r="I11" s="45">
        <f t="shared" si="2"/>
        <v>897.69282137111793</v>
      </c>
      <c r="J11" s="46">
        <f t="shared" si="3"/>
        <v>0.19432007073712951</v>
      </c>
    </row>
    <row r="12" spans="1:10" ht="18.5" x14ac:dyDescent="0.45">
      <c r="A12" s="26">
        <v>6</v>
      </c>
      <c r="B12" s="9" t="s">
        <v>33</v>
      </c>
      <c r="C12" s="58">
        <f>IFERROR(IF(C11="Other",(D12-D12*0.3),VLOOKUP(C11,Inputs!A7:D20,4,FALSE)),0)</f>
        <v>0.158</v>
      </c>
      <c r="D12" s="88"/>
      <c r="F12" s="35">
        <f t="shared" si="0"/>
        <v>9</v>
      </c>
      <c r="G12" s="41">
        <f t="shared" si="1"/>
        <v>2145.2947188347143</v>
      </c>
      <c r="H12" s="66"/>
      <c r="I12" s="45">
        <f t="shared" si="2"/>
        <v>893.20435726426228</v>
      </c>
      <c r="J12" s="46">
        <f t="shared" si="3"/>
        <v>0.2001496728592434</v>
      </c>
    </row>
    <row r="13" spans="1:10" ht="18.5" x14ac:dyDescent="0.45">
      <c r="A13" s="26">
        <v>7</v>
      </c>
      <c r="B13" s="9" t="s">
        <v>17</v>
      </c>
      <c r="C13" s="90">
        <v>11157</v>
      </c>
      <c r="F13" s="35">
        <f t="shared" si="0"/>
        <v>10</v>
      </c>
      <c r="G13" s="41">
        <f t="shared" si="1"/>
        <v>2198.6052925977569</v>
      </c>
      <c r="H13" s="66"/>
      <c r="I13" s="45">
        <f t="shared" si="2"/>
        <v>888.73833547794095</v>
      </c>
      <c r="J13" s="46">
        <f t="shared" si="3"/>
        <v>0.20615416304502071</v>
      </c>
    </row>
    <row r="14" spans="1:10" ht="44.5" x14ac:dyDescent="0.45">
      <c r="A14" s="26">
        <v>8</v>
      </c>
      <c r="B14" s="59" t="s">
        <v>34</v>
      </c>
      <c r="C14" s="91" t="s">
        <v>19</v>
      </c>
      <c r="D14" s="5"/>
      <c r="E14" s="26"/>
      <c r="F14" s="35">
        <f t="shared" si="0"/>
        <v>11</v>
      </c>
      <c r="G14" s="41">
        <f t="shared" si="1"/>
        <v>2253.2406341188116</v>
      </c>
      <c r="H14" s="66"/>
      <c r="I14" s="45">
        <f t="shared" si="2"/>
        <v>884.29464380055128</v>
      </c>
      <c r="J14" s="46">
        <f t="shared" si="3"/>
        <v>0.21233878793637134</v>
      </c>
    </row>
    <row r="15" spans="1:10" ht="18.5" x14ac:dyDescent="0.45">
      <c r="A15" s="26">
        <v>9</v>
      </c>
      <c r="B15" s="2" t="s">
        <v>35</v>
      </c>
      <c r="C15" s="100">
        <v>0.183</v>
      </c>
      <c r="E15" s="26"/>
      <c r="F15" s="35">
        <f t="shared" si="0"/>
        <v>12</v>
      </c>
      <c r="G15" s="41">
        <f t="shared" si="1"/>
        <v>2309.2336638766637</v>
      </c>
      <c r="H15" s="66"/>
      <c r="I15" s="45">
        <f t="shared" si="2"/>
        <v>879.87317058154849</v>
      </c>
      <c r="J15" s="46">
        <f t="shared" si="3"/>
        <v>0.21870895157446249</v>
      </c>
    </row>
    <row r="16" spans="1:10" ht="18.5" x14ac:dyDescent="0.45">
      <c r="A16" s="26">
        <v>10</v>
      </c>
      <c r="B16" s="60" t="s">
        <v>20</v>
      </c>
      <c r="C16" s="92">
        <v>24307</v>
      </c>
      <c r="E16" s="26"/>
      <c r="F16" s="35">
        <f t="shared" si="0"/>
        <v>13</v>
      </c>
      <c r="G16" s="41">
        <f t="shared" si="1"/>
        <v>2366.6181204239992</v>
      </c>
      <c r="H16" s="66"/>
      <c r="I16" s="45">
        <f t="shared" si="2"/>
        <v>875.47380472864074</v>
      </c>
      <c r="J16" s="46">
        <f t="shared" si="3"/>
        <v>0.22527022012169637</v>
      </c>
    </row>
    <row r="17" spans="1:10" ht="30.5" thickBot="1" x14ac:dyDescent="0.5">
      <c r="A17" s="26">
        <v>11</v>
      </c>
      <c r="B17" s="61" t="s">
        <v>36</v>
      </c>
      <c r="C17" s="101">
        <v>2885</v>
      </c>
      <c r="E17" s="26"/>
      <c r="F17" s="35">
        <f t="shared" si="0"/>
        <v>14</v>
      </c>
      <c r="G17" s="41">
        <f t="shared" si="1"/>
        <v>2425.4285807165356</v>
      </c>
      <c r="H17" s="66"/>
      <c r="I17" s="45">
        <f t="shared" si="2"/>
        <v>871.09643570499759</v>
      </c>
      <c r="J17" s="46">
        <f t="shared" si="3"/>
        <v>0.23202832672534726</v>
      </c>
    </row>
    <row r="18" spans="1:10" ht="19" thickBot="1" x14ac:dyDescent="0.5">
      <c r="A18" s="106"/>
      <c r="F18" s="35">
        <f t="shared" si="0"/>
        <v>15</v>
      </c>
      <c r="G18" s="41">
        <f t="shared" si="1"/>
        <v>2485.7004809473415</v>
      </c>
      <c r="H18" s="66"/>
      <c r="I18" s="45">
        <f t="shared" si="2"/>
        <v>866.74095352647259</v>
      </c>
      <c r="J18" s="46">
        <f t="shared" si="3"/>
        <v>0.23898917652710769</v>
      </c>
    </row>
    <row r="19" spans="1:10" ht="30" x14ac:dyDescent="0.45">
      <c r="A19" s="26">
        <v>12</v>
      </c>
      <c r="B19" s="62" t="s">
        <v>37</v>
      </c>
      <c r="C19" s="76">
        <f>(C16-C17)/C16*C15</f>
        <v>0.16127971366273092</v>
      </c>
      <c r="F19" s="40">
        <f t="shared" si="0"/>
        <v>16</v>
      </c>
      <c r="G19" s="41">
        <f t="shared" si="1"/>
        <v>2547.470137898883</v>
      </c>
      <c r="H19" s="66"/>
      <c r="I19" s="45">
        <f t="shared" si="2"/>
        <v>862.40724875884018</v>
      </c>
      <c r="J19" s="46">
        <f t="shared" si="3"/>
        <v>0.24615885182292094</v>
      </c>
    </row>
    <row r="20" spans="1:10" ht="19" thickBot="1" x14ac:dyDescent="0.5">
      <c r="A20" s="26">
        <v>13</v>
      </c>
      <c r="B20" s="77" t="s">
        <v>38</v>
      </c>
      <c r="C20" s="78">
        <f>IF(C11="Other",(D12-D12*0.3),(VLOOKUP(C11,Inputs!A7:D20,4,FALSE)))</f>
        <v>0.158</v>
      </c>
      <c r="D20" s="5"/>
      <c r="F20" s="35">
        <f t="shared" si="0"/>
        <v>17</v>
      </c>
      <c r="G20" s="41">
        <f t="shared" si="1"/>
        <v>2610.7747708256702</v>
      </c>
      <c r="H20" s="66"/>
      <c r="I20" s="45">
        <f t="shared" si="2"/>
        <v>858.095212515046</v>
      </c>
      <c r="J20" s="46">
        <f t="shared" si="3"/>
        <v>0.25354361737760855</v>
      </c>
    </row>
    <row r="21" spans="1:10" ht="15" customHeight="1" thickBot="1" x14ac:dyDescent="0.5">
      <c r="A21" s="106"/>
      <c r="F21" s="35">
        <f t="shared" si="0"/>
        <v>18</v>
      </c>
      <c r="G21" s="41">
        <f t="shared" si="1"/>
        <v>2675.652523880688</v>
      </c>
      <c r="H21" s="66"/>
      <c r="I21" s="45">
        <f t="shared" si="2"/>
        <v>853.80473645247082</v>
      </c>
      <c r="J21" s="46">
        <f t="shared" si="3"/>
        <v>0.26114992589893682</v>
      </c>
    </row>
    <row r="22" spans="1:10" ht="14.5" customHeight="1" x14ac:dyDescent="0.35">
      <c r="A22" s="144">
        <v>14</v>
      </c>
      <c r="B22" s="145" t="str">
        <f>IF(C19&lt;=C20,Inputs!A24,Inputs!A25)</f>
        <v>The system design does not meet MEA program requirements.</v>
      </c>
      <c r="C22" s="146"/>
      <c r="F22" s="35">
        <f t="shared" si="0"/>
        <v>19</v>
      </c>
      <c r="G22" s="41">
        <f t="shared" si="1"/>
        <v>2742.1424890991229</v>
      </c>
      <c r="H22" s="67"/>
      <c r="I22" s="45">
        <f t="shared" si="2"/>
        <v>849.53571277020842</v>
      </c>
      <c r="J22" s="46">
        <f t="shared" si="3"/>
        <v>0.26898442367590492</v>
      </c>
    </row>
    <row r="23" spans="1:10" s="5" customFormat="1" ht="15" customHeight="1" thickBot="1" x14ac:dyDescent="0.4">
      <c r="A23" s="144"/>
      <c r="B23" s="147"/>
      <c r="C23" s="148"/>
      <c r="F23" s="35">
        <f t="shared" si="0"/>
        <v>20</v>
      </c>
      <c r="G23" s="41">
        <f t="shared" si="1"/>
        <v>2810.2847299532364</v>
      </c>
      <c r="H23" s="66"/>
      <c r="I23" s="45">
        <f t="shared" si="2"/>
        <v>845.28803420635734</v>
      </c>
      <c r="J23" s="46">
        <f t="shared" si="3"/>
        <v>0.27705395638618208</v>
      </c>
    </row>
    <row r="24" spans="1:10" ht="18.5" x14ac:dyDescent="0.35">
      <c r="A24" s="83"/>
      <c r="F24" s="35">
        <f t="shared" si="0"/>
        <v>21</v>
      </c>
      <c r="G24" s="41">
        <f t="shared" si="1"/>
        <v>2880.1203054925745</v>
      </c>
      <c r="H24" s="66"/>
      <c r="I24" s="45">
        <f t="shared" si="2"/>
        <v>841.06159403532558</v>
      </c>
      <c r="J24" s="46">
        <f t="shared" si="3"/>
        <v>0.28536557507776755</v>
      </c>
    </row>
    <row r="25" spans="1:10" x14ac:dyDescent="0.35">
      <c r="F25" s="35">
        <f t="shared" si="0"/>
        <v>22</v>
      </c>
      <c r="G25" s="41">
        <f t="shared" si="1"/>
        <v>2951.6912950840651</v>
      </c>
      <c r="H25" s="66"/>
      <c r="I25" s="45">
        <f t="shared" si="2"/>
        <v>836.85628606514899</v>
      </c>
      <c r="J25" s="46">
        <f t="shared" si="3"/>
        <v>0.29392654233010057</v>
      </c>
    </row>
    <row r="26" spans="1:10" x14ac:dyDescent="0.35">
      <c r="F26" s="35">
        <f t="shared" si="0"/>
        <v>23</v>
      </c>
      <c r="G26" s="41">
        <f t="shared" si="1"/>
        <v>3025.0408237669044</v>
      </c>
      <c r="H26" s="66"/>
      <c r="I26" s="45">
        <f t="shared" si="2"/>
        <v>832.67200463482322</v>
      </c>
      <c r="J26" s="46">
        <f t="shared" si="3"/>
        <v>0.3027443386000036</v>
      </c>
    </row>
    <row r="27" spans="1:10" x14ac:dyDescent="0.35">
      <c r="F27" s="35">
        <f t="shared" si="0"/>
        <v>24</v>
      </c>
      <c r="G27" s="41">
        <f t="shared" si="1"/>
        <v>3100.2130882375118</v>
      </c>
      <c r="H27" s="66"/>
      <c r="I27" s="45">
        <f t="shared" si="2"/>
        <v>828.50864461164906</v>
      </c>
      <c r="J27" s="46">
        <f t="shared" si="3"/>
        <v>0.31182666875800374</v>
      </c>
    </row>
    <row r="28" spans="1:10" ht="19" thickBot="1" x14ac:dyDescent="0.5">
      <c r="A28" s="26"/>
      <c r="F28" s="47">
        <f t="shared" si="0"/>
        <v>25</v>
      </c>
      <c r="G28" s="48">
        <f t="shared" si="1"/>
        <v>3177.2533834802143</v>
      </c>
      <c r="H28" s="68"/>
      <c r="I28" s="50">
        <f t="shared" si="2"/>
        <v>824.36610138859078</v>
      </c>
      <c r="J28" s="51">
        <f t="shared" si="3"/>
        <v>0.32118146882074389</v>
      </c>
    </row>
    <row r="29" spans="1:10" s="5" customFormat="1" ht="19" thickBot="1" x14ac:dyDescent="0.5">
      <c r="A29" s="26"/>
      <c r="F29"/>
      <c r="G29"/>
      <c r="H29"/>
      <c r="I29"/>
      <c r="J29"/>
    </row>
    <row r="30" spans="1:10" ht="28.75" customHeight="1" x14ac:dyDescent="0.45">
      <c r="A30" s="26"/>
      <c r="F30" s="149" t="s">
        <v>26</v>
      </c>
      <c r="G30" s="150"/>
    </row>
    <row r="31" spans="1:10" x14ac:dyDescent="0.35">
      <c r="F31" s="151" t="s">
        <v>27</v>
      </c>
      <c r="G31" s="152"/>
    </row>
    <row r="32" spans="1:10" ht="15" thickBot="1" x14ac:dyDescent="0.4">
      <c r="F32" s="142">
        <f>NPV(C5,G3:G28)</f>
        <v>32767.874906302248</v>
      </c>
      <c r="G32" s="143"/>
    </row>
    <row r="39" spans="1:6" x14ac:dyDescent="0.35">
      <c r="D39" s="20"/>
      <c r="E39" s="20"/>
    </row>
    <row r="40" spans="1:6" x14ac:dyDescent="0.35">
      <c r="A40" s="29"/>
      <c r="F40" s="19"/>
    </row>
    <row r="41" spans="1:6" x14ac:dyDescent="0.35">
      <c r="E41" s="56"/>
    </row>
    <row r="42" spans="1:6" x14ac:dyDescent="0.35">
      <c r="F42" s="19"/>
    </row>
    <row r="44" spans="1:6" x14ac:dyDescent="0.35">
      <c r="C44" s="17"/>
    </row>
    <row r="47" spans="1:6" x14ac:dyDescent="0.35">
      <c r="B47" s="54"/>
      <c r="F47" s="19"/>
    </row>
  </sheetData>
  <sheetProtection selectLockedCells="1"/>
  <protectedRanges>
    <protectedRange sqref="C12:C13" name="Inputs"/>
    <protectedRange sqref="C15" name="Inputs_1"/>
  </protectedRanges>
  <mergeCells count="6">
    <mergeCell ref="D10:D11"/>
    <mergeCell ref="F32:G32"/>
    <mergeCell ref="A22:A23"/>
    <mergeCell ref="B22:C23"/>
    <mergeCell ref="F30:G30"/>
    <mergeCell ref="F31:G31"/>
  </mergeCells>
  <conditionalFormatting sqref="C15">
    <cfRule type="cellIs" dxfId="9" priority="7" operator="lessThan">
      <formula>0</formula>
    </cfRule>
  </conditionalFormatting>
  <conditionalFormatting sqref="D10">
    <cfRule type="expression" dxfId="8" priority="1">
      <formula>C11="Other"</formula>
    </cfRule>
  </conditionalFormatting>
  <conditionalFormatting sqref="D12">
    <cfRule type="expression" dxfId="7" priority="2">
      <formula>$C$11="Other"</formula>
    </cfRule>
  </conditionalFormatting>
  <pageMargins left="0.25" right="0.25" top="0.75" bottom="0.75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D5A168-DC6A-4381-BF25-2E36181B9012}">
          <x14:formula1>
            <xm:f>Inputs!$A$3:$A$4</xm:f>
          </x14:formula1>
          <xm:sqref>C14</xm:sqref>
        </x14:dataValidation>
        <x14:dataValidation type="list" allowBlank="1" showInputMessage="1" showErrorMessage="1" xr:uid="{03C70A53-4FCC-4F97-99C9-535E58A5286D}">
          <x14:formula1>
            <xm:f>Inputs!$A$7:$A$20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C370-78F7-4578-93B2-56DBD8AF5509}">
  <sheetPr codeName="Sheet3"/>
  <dimension ref="A1:M56"/>
  <sheetViews>
    <sheetView showGridLines="0" topLeftCell="A3" zoomScale="130" zoomScaleNormal="130" workbookViewId="0">
      <selection activeCell="B33" sqref="B33"/>
    </sheetView>
  </sheetViews>
  <sheetFormatPr defaultColWidth="10" defaultRowHeight="14.5" x14ac:dyDescent="0.35"/>
  <cols>
    <col min="1" max="1" width="6.1796875" style="1" customWidth="1"/>
    <col min="2" max="2" width="65.1796875" bestFit="1" customWidth="1"/>
    <col min="3" max="3" width="38" bestFit="1" customWidth="1"/>
    <col min="4" max="4" width="25.08984375" customWidth="1"/>
    <col min="5" max="5" width="3.1796875" customWidth="1"/>
    <col min="6" max="7" width="12.81640625" style="1" customWidth="1"/>
    <col min="8" max="8" width="9.81640625" style="1" bestFit="1" customWidth="1"/>
    <col min="9" max="9" width="1.1796875" customWidth="1"/>
    <col min="10" max="11" width="12.81640625" customWidth="1"/>
    <col min="12" max="12" width="4.81640625" customWidth="1"/>
    <col min="13" max="13" width="5.1796875" customWidth="1"/>
    <col min="14" max="14" width="6.81640625" customWidth="1"/>
  </cols>
  <sheetData>
    <row r="1" spans="1:13" ht="19" thickBot="1" x14ac:dyDescent="0.5">
      <c r="B1" s="6" t="s">
        <v>1</v>
      </c>
      <c r="G1" s="26"/>
      <c r="H1" s="26"/>
      <c r="I1" s="27"/>
      <c r="J1" s="26"/>
      <c r="K1" s="26"/>
    </row>
    <row r="2" spans="1:13" ht="43.5" x14ac:dyDescent="0.35">
      <c r="B2" s="30" t="s">
        <v>2</v>
      </c>
      <c r="F2" s="3" t="s">
        <v>3</v>
      </c>
      <c r="G2" s="13" t="s">
        <v>4</v>
      </c>
      <c r="H2" s="14" t="s">
        <v>5</v>
      </c>
      <c r="I2" s="65"/>
      <c r="J2" s="15" t="s">
        <v>6</v>
      </c>
      <c r="K2" s="31" t="s">
        <v>7</v>
      </c>
    </row>
    <row r="3" spans="1:13" ht="15" thickBot="1" x14ac:dyDescent="0.4">
      <c r="A3" s="85"/>
      <c r="B3" s="30"/>
      <c r="F3" s="35">
        <v>0</v>
      </c>
      <c r="G3" s="36"/>
      <c r="H3" s="37"/>
      <c r="I3" s="66"/>
      <c r="J3" s="37"/>
      <c r="K3" s="39"/>
      <c r="M3" s="22"/>
    </row>
    <row r="4" spans="1:13" ht="18.5" x14ac:dyDescent="0.45">
      <c r="A4" s="95"/>
      <c r="B4" s="7" t="s">
        <v>8</v>
      </c>
      <c r="C4" s="8"/>
      <c r="F4" s="40">
        <f t="shared" ref="F4:F28" si="0">IF(F3&gt;=$C$7,"",F3+1)</f>
        <v>1</v>
      </c>
      <c r="G4" s="41">
        <f>K4*J4*12</f>
        <v>2430</v>
      </c>
      <c r="H4" s="42">
        <f>C21*12</f>
        <v>2302.1546753441048</v>
      </c>
      <c r="I4" s="66"/>
      <c r="J4" s="43">
        <f>C13/12</f>
        <v>1250</v>
      </c>
      <c r="K4" s="44">
        <f>C12</f>
        <v>0.16200000000000001</v>
      </c>
      <c r="M4" s="23"/>
    </row>
    <row r="5" spans="1:13" ht="18.5" x14ac:dyDescent="0.45">
      <c r="A5" s="95">
        <v>1</v>
      </c>
      <c r="B5" s="2" t="s">
        <v>9</v>
      </c>
      <c r="C5" s="52">
        <v>4.7500000000000001E-2</v>
      </c>
      <c r="F5" s="35">
        <f t="shared" si="0"/>
        <v>2</v>
      </c>
      <c r="G5" s="41">
        <f t="shared" ref="G5:G28" si="1">IF($F5&lt;&gt;"",J5*K5*12,"")</f>
        <v>2490.3855000000003</v>
      </c>
      <c r="H5" s="42">
        <f t="shared" ref="H5:H28" si="2">IF($F5&lt;&gt;"",H4*(1+$C$17),"")</f>
        <v>2370.9891001368937</v>
      </c>
      <c r="I5" s="66"/>
      <c r="J5" s="45">
        <f t="shared" ref="J5:J28" si="3">IF($F5&lt;&gt;"",J4*(1-$C$6),"")</f>
        <v>1243.75</v>
      </c>
      <c r="K5" s="46">
        <f t="shared" ref="K5:K28" si="4">IF($F5&lt;&gt;"",K4*(1+$C$8),"")</f>
        <v>0.16686000000000001</v>
      </c>
      <c r="M5" s="20"/>
    </row>
    <row r="6" spans="1:13" ht="18.5" x14ac:dyDescent="0.45">
      <c r="A6" s="95">
        <v>2</v>
      </c>
      <c r="B6" s="9" t="s">
        <v>10</v>
      </c>
      <c r="C6" s="52">
        <v>5.0000000000000001E-3</v>
      </c>
      <c r="F6" s="35">
        <f t="shared" si="0"/>
        <v>3</v>
      </c>
      <c r="G6" s="41">
        <f t="shared" si="1"/>
        <v>2552.2715796749999</v>
      </c>
      <c r="H6" s="42">
        <f t="shared" si="2"/>
        <v>2441.8816742309868</v>
      </c>
      <c r="I6" s="66"/>
      <c r="J6" s="45">
        <f t="shared" si="3"/>
        <v>1237.53125</v>
      </c>
      <c r="K6" s="46">
        <f t="shared" si="4"/>
        <v>0.17186580000000001</v>
      </c>
    </row>
    <row r="7" spans="1:13" ht="18.5" x14ac:dyDescent="0.45">
      <c r="A7" s="95">
        <v>3</v>
      </c>
      <c r="B7" s="9" t="s">
        <v>11</v>
      </c>
      <c r="C7" s="34">
        <v>25</v>
      </c>
      <c r="F7" s="35">
        <f t="shared" si="0"/>
        <v>4</v>
      </c>
      <c r="G7" s="41">
        <f t="shared" si="1"/>
        <v>2615.6955284299243</v>
      </c>
      <c r="H7" s="42">
        <f t="shared" si="2"/>
        <v>2514.8939362904935</v>
      </c>
      <c r="I7" s="66"/>
      <c r="J7" s="45">
        <f t="shared" si="3"/>
        <v>1231.3435937500001</v>
      </c>
      <c r="K7" s="46">
        <f t="shared" si="4"/>
        <v>0.17702177400000002</v>
      </c>
    </row>
    <row r="8" spans="1:13" ht="19" thickBot="1" x14ac:dyDescent="0.5">
      <c r="A8" s="95">
        <v>4</v>
      </c>
      <c r="B8" s="10" t="s">
        <v>12</v>
      </c>
      <c r="C8" s="96">
        <v>0.03</v>
      </c>
      <c r="F8" s="35">
        <f t="shared" si="0"/>
        <v>5</v>
      </c>
      <c r="G8" s="41">
        <f t="shared" si="1"/>
        <v>2680.6955623114081</v>
      </c>
      <c r="H8" s="42">
        <f t="shared" si="2"/>
        <v>2590.0892649855791</v>
      </c>
      <c r="I8" s="66"/>
      <c r="J8" s="45">
        <f t="shared" si="3"/>
        <v>1225.1868757812501</v>
      </c>
      <c r="K8" s="46">
        <f t="shared" si="4"/>
        <v>0.18233242722000004</v>
      </c>
    </row>
    <row r="9" spans="1:13" ht="18.649999999999999" customHeight="1" thickBot="1" x14ac:dyDescent="0.5">
      <c r="A9" s="95"/>
      <c r="F9" s="35">
        <f t="shared" si="0"/>
        <v>6</v>
      </c>
      <c r="G9" s="41">
        <f t="shared" si="1"/>
        <v>2747.3108470348461</v>
      </c>
      <c r="H9" s="42">
        <f t="shared" si="2"/>
        <v>2667.5329340086482</v>
      </c>
      <c r="I9" s="66"/>
      <c r="J9" s="45">
        <f t="shared" si="3"/>
        <v>1219.0609414023438</v>
      </c>
      <c r="K9" s="46">
        <f t="shared" si="4"/>
        <v>0.18780240003660004</v>
      </c>
    </row>
    <row r="10" spans="1:13" ht="18.5" x14ac:dyDescent="0.45">
      <c r="A10" s="95"/>
      <c r="B10" s="7" t="s">
        <v>13</v>
      </c>
      <c r="C10" s="8"/>
      <c r="D10" s="141" t="str">
        <f>IF(C11="Other","Input Custom Utility Electric Rate Below ($/kWh)","")</f>
        <v/>
      </c>
      <c r="E10" s="25"/>
      <c r="F10" s="40">
        <f t="shared" si="0"/>
        <v>7</v>
      </c>
      <c r="G10" s="41">
        <f t="shared" si="1"/>
        <v>2815.5815215836619</v>
      </c>
      <c r="H10" s="42">
        <f t="shared" si="2"/>
        <v>2747.2921687355069</v>
      </c>
      <c r="I10" s="66"/>
      <c r="J10" s="45">
        <f t="shared" si="3"/>
        <v>1212.965636695332</v>
      </c>
      <c r="K10" s="46">
        <f t="shared" si="4"/>
        <v>0.19343647203769804</v>
      </c>
    </row>
    <row r="11" spans="1:13" ht="18.5" x14ac:dyDescent="0.45">
      <c r="A11" s="26">
        <v>5</v>
      </c>
      <c r="B11" s="9" t="s">
        <v>14</v>
      </c>
      <c r="C11" s="89" t="s">
        <v>15</v>
      </c>
      <c r="D11" s="141"/>
      <c r="F11" s="35">
        <f t="shared" si="0"/>
        <v>8</v>
      </c>
      <c r="G11" s="41">
        <f t="shared" si="1"/>
        <v>2885.5487223950163</v>
      </c>
      <c r="H11" s="42">
        <f t="shared" si="2"/>
        <v>2829.4362045806988</v>
      </c>
      <c r="I11" s="66"/>
      <c r="J11" s="45">
        <f t="shared" si="3"/>
        <v>1206.9008085118553</v>
      </c>
      <c r="K11" s="46">
        <f t="shared" si="4"/>
        <v>0.19923956619882899</v>
      </c>
    </row>
    <row r="12" spans="1:13" ht="18.5" x14ac:dyDescent="0.45">
      <c r="A12" s="26">
        <v>6</v>
      </c>
      <c r="B12" s="9" t="s">
        <v>16</v>
      </c>
      <c r="C12" s="58">
        <f>IFERROR(IF(C11="Other",(D12-D12*0.3),VLOOKUP(C11,Inputs!A7:D20,4,FALSE)),0)</f>
        <v>0.16200000000000001</v>
      </c>
      <c r="D12" s="88"/>
      <c r="F12" s="35">
        <f t="shared" si="0"/>
        <v>9</v>
      </c>
      <c r="G12" s="41">
        <f t="shared" si="1"/>
        <v>2957.2546081465325</v>
      </c>
      <c r="H12" s="42">
        <f t="shared" si="2"/>
        <v>2914.0363470976617</v>
      </c>
      <c r="I12" s="66"/>
      <c r="J12" s="45">
        <f t="shared" si="3"/>
        <v>1200.866304469296</v>
      </c>
      <c r="K12" s="46">
        <f t="shared" si="4"/>
        <v>0.20521675318479388</v>
      </c>
    </row>
    <row r="13" spans="1:13" ht="18.5" x14ac:dyDescent="0.45">
      <c r="A13" s="26">
        <v>7</v>
      </c>
      <c r="B13" s="9" t="s">
        <v>17</v>
      </c>
      <c r="C13" s="90">
        <v>15000</v>
      </c>
      <c r="F13" s="35">
        <f t="shared" si="0"/>
        <v>10</v>
      </c>
      <c r="G13" s="41">
        <f t="shared" si="1"/>
        <v>3030.7423851589738</v>
      </c>
      <c r="H13" s="42">
        <f t="shared" si="2"/>
        <v>3001.166033875882</v>
      </c>
      <c r="I13" s="66"/>
      <c r="J13" s="45">
        <f t="shared" si="3"/>
        <v>1194.8619729469494</v>
      </c>
      <c r="K13" s="46">
        <f t="shared" si="4"/>
        <v>0.21137325578033769</v>
      </c>
    </row>
    <row r="14" spans="1:13" ht="44.5" x14ac:dyDescent="0.45">
      <c r="A14" s="26">
        <v>8</v>
      </c>
      <c r="B14" s="59" t="s">
        <v>18</v>
      </c>
      <c r="C14" s="91" t="s">
        <v>19</v>
      </c>
      <c r="F14" s="35">
        <f t="shared" si="0"/>
        <v>11</v>
      </c>
      <c r="G14" s="41">
        <f t="shared" si="1"/>
        <v>3106.0563334301742</v>
      </c>
      <c r="H14" s="42">
        <f t="shared" si="2"/>
        <v>3090.9008982887708</v>
      </c>
      <c r="I14" s="66"/>
      <c r="J14" s="45">
        <f t="shared" si="3"/>
        <v>1188.8876630822147</v>
      </c>
      <c r="K14" s="46">
        <f t="shared" si="4"/>
        <v>0.21771445345374782</v>
      </c>
    </row>
    <row r="15" spans="1:13" ht="18.5" x14ac:dyDescent="0.45">
      <c r="A15" s="26">
        <v>9</v>
      </c>
      <c r="B15" s="60" t="s">
        <v>20</v>
      </c>
      <c r="C15" s="92">
        <v>47000</v>
      </c>
      <c r="F15" s="35">
        <f t="shared" si="0"/>
        <v>12</v>
      </c>
      <c r="G15" s="41">
        <f t="shared" si="1"/>
        <v>3183.2418333159139</v>
      </c>
      <c r="H15" s="42">
        <f t="shared" si="2"/>
        <v>3183.3188351476051</v>
      </c>
      <c r="I15" s="66"/>
      <c r="J15" s="45">
        <f t="shared" si="3"/>
        <v>1182.9432247668035</v>
      </c>
      <c r="K15" s="46">
        <f t="shared" si="4"/>
        <v>0.22424588705736026</v>
      </c>
    </row>
    <row r="16" spans="1:13" ht="30" x14ac:dyDescent="0.45">
      <c r="A16" s="26">
        <v>10</v>
      </c>
      <c r="B16" s="59" t="s">
        <v>21</v>
      </c>
      <c r="C16" s="92">
        <v>5000</v>
      </c>
      <c r="F16" s="35">
        <f t="shared" si="0"/>
        <v>13</v>
      </c>
      <c r="G16" s="41">
        <f t="shared" si="1"/>
        <v>3262.3453928738145</v>
      </c>
      <c r="H16" s="42">
        <f t="shared" si="2"/>
        <v>3278.5000683185185</v>
      </c>
      <c r="I16" s="66"/>
      <c r="J16" s="45">
        <f t="shared" si="3"/>
        <v>1177.0285086429694</v>
      </c>
      <c r="K16" s="46">
        <f t="shared" si="4"/>
        <v>0.23097326366908108</v>
      </c>
    </row>
    <row r="17" spans="1:11" ht="18.5" x14ac:dyDescent="0.45">
      <c r="A17" s="95">
        <v>11</v>
      </c>
      <c r="B17" s="9" t="s">
        <v>22</v>
      </c>
      <c r="C17" s="93">
        <v>2.9899999999999999E-2</v>
      </c>
      <c r="F17" s="35">
        <f t="shared" si="0"/>
        <v>14</v>
      </c>
      <c r="G17" s="41">
        <f t="shared" si="1"/>
        <v>3343.4146758867282</v>
      </c>
      <c r="H17" s="42">
        <f t="shared" si="2"/>
        <v>3376.5272203612421</v>
      </c>
      <c r="I17" s="66"/>
      <c r="J17" s="45">
        <f t="shared" si="3"/>
        <v>1171.1433660997545</v>
      </c>
      <c r="K17" s="46">
        <f t="shared" si="4"/>
        <v>0.23790246157915351</v>
      </c>
    </row>
    <row r="18" spans="1:11" ht="19" thickBot="1" x14ac:dyDescent="0.5">
      <c r="A18" s="95">
        <v>12</v>
      </c>
      <c r="B18" s="97" t="s">
        <v>23</v>
      </c>
      <c r="C18" s="94">
        <v>155.75</v>
      </c>
      <c r="F18" s="35">
        <f t="shared" si="0"/>
        <v>15</v>
      </c>
      <c r="G18" s="41">
        <f t="shared" si="1"/>
        <v>3426.4985305825135</v>
      </c>
      <c r="H18" s="42">
        <f t="shared" si="2"/>
        <v>3477.4853842500434</v>
      </c>
      <c r="I18" s="66"/>
      <c r="J18" s="45">
        <f t="shared" si="3"/>
        <v>1165.2876492692558</v>
      </c>
      <c r="K18" s="46">
        <f t="shared" si="4"/>
        <v>0.24503953542652812</v>
      </c>
    </row>
    <row r="19" spans="1:11" ht="19" thickBot="1" x14ac:dyDescent="0.5">
      <c r="A19" s="95"/>
      <c r="F19" s="40">
        <f t="shared" si="0"/>
        <v>16</v>
      </c>
      <c r="G19" s="41">
        <f t="shared" si="1"/>
        <v>3511.6470190674891</v>
      </c>
      <c r="H19" s="42">
        <f t="shared" si="2"/>
        <v>3581.4621972391196</v>
      </c>
      <c r="I19" s="66"/>
      <c r="J19" s="45">
        <f t="shared" si="3"/>
        <v>1159.4612110229095</v>
      </c>
      <c r="K19" s="46">
        <f t="shared" si="4"/>
        <v>0.25239072148932395</v>
      </c>
    </row>
    <row r="20" spans="1:11" ht="29" x14ac:dyDescent="0.35">
      <c r="A20" s="87">
        <v>13</v>
      </c>
      <c r="B20" s="98" t="s">
        <v>24</v>
      </c>
      <c r="C20" s="99">
        <f>(C15-C16)/C15*C18</f>
        <v>139.18085106382978</v>
      </c>
      <c r="F20" s="35">
        <f t="shared" si="0"/>
        <v>17</v>
      </c>
      <c r="G20" s="41">
        <f t="shared" si="1"/>
        <v>3598.9114474913167</v>
      </c>
      <c r="H20" s="42">
        <f t="shared" si="2"/>
        <v>3688.5479169365694</v>
      </c>
      <c r="I20" s="66"/>
      <c r="J20" s="45">
        <f t="shared" si="3"/>
        <v>1153.6639049677949</v>
      </c>
      <c r="K20" s="46">
        <f t="shared" si="4"/>
        <v>0.25996244313400368</v>
      </c>
    </row>
    <row r="21" spans="1:11" ht="15" customHeight="1" thickBot="1" x14ac:dyDescent="0.5">
      <c r="A21" s="95">
        <v>14</v>
      </c>
      <c r="B21" s="63" t="s">
        <v>25</v>
      </c>
      <c r="C21" s="64">
        <f>(NPV(C5,G4:G28)*(C5-C17)/(1-(1+C17)^C7*(1+C5)^-C7)/12)</f>
        <v>191.84622294534208</v>
      </c>
      <c r="F21" s="35">
        <f t="shared" si="0"/>
        <v>18</v>
      </c>
      <c r="G21" s="41">
        <f t="shared" si="1"/>
        <v>3688.3443969614755</v>
      </c>
      <c r="H21" s="42">
        <f t="shared" si="2"/>
        <v>3798.8354996529729</v>
      </c>
      <c r="I21" s="66"/>
      <c r="J21" s="45">
        <f t="shared" si="3"/>
        <v>1147.895585442956</v>
      </c>
      <c r="K21" s="46">
        <f t="shared" si="4"/>
        <v>0.26776131642802381</v>
      </c>
    </row>
    <row r="22" spans="1:11" ht="14.5" customHeight="1" thickBot="1" x14ac:dyDescent="0.4">
      <c r="A22" s="139"/>
      <c r="F22" s="35">
        <f t="shared" si="0"/>
        <v>19</v>
      </c>
      <c r="G22" s="41">
        <f t="shared" si="1"/>
        <v>3779.9997552259683</v>
      </c>
      <c r="H22" s="42">
        <f t="shared" si="2"/>
        <v>3912.4206810925971</v>
      </c>
      <c r="I22" s="67"/>
      <c r="J22" s="45">
        <f t="shared" si="3"/>
        <v>1142.1561075157413</v>
      </c>
      <c r="K22" s="46">
        <f t="shared" si="4"/>
        <v>0.27579415592086454</v>
      </c>
    </row>
    <row r="23" spans="1:11" s="5" customFormat="1" ht="14.4" customHeight="1" x14ac:dyDescent="0.35">
      <c r="A23" s="155">
        <v>15</v>
      </c>
      <c r="B23" s="145" t="str">
        <f>IF(C20&lt;=C21,Inputs!A24,Inputs!A25)</f>
        <v>The system design meets MEA program requirements.</v>
      </c>
      <c r="C23" s="146"/>
      <c r="F23" s="35">
        <f t="shared" si="0"/>
        <v>20</v>
      </c>
      <c r="G23" s="41">
        <f t="shared" si="1"/>
        <v>3873.9327491433341</v>
      </c>
      <c r="H23" s="42">
        <f t="shared" si="2"/>
        <v>4029.4020594572658</v>
      </c>
      <c r="I23" s="66"/>
      <c r="J23" s="45">
        <f t="shared" si="3"/>
        <v>1136.4453269781625</v>
      </c>
      <c r="K23" s="46">
        <f t="shared" si="4"/>
        <v>0.28406798059849048</v>
      </c>
    </row>
    <row r="24" spans="1:11" ht="15" thickBot="1" x14ac:dyDescent="0.4">
      <c r="A24" s="155"/>
      <c r="B24" s="147"/>
      <c r="C24" s="148"/>
      <c r="F24" s="35">
        <f t="shared" si="0"/>
        <v>21</v>
      </c>
      <c r="G24" s="41">
        <f t="shared" si="1"/>
        <v>3970.1999779595458</v>
      </c>
      <c r="H24" s="42">
        <f t="shared" si="2"/>
        <v>4149.881181035038</v>
      </c>
      <c r="I24" s="66"/>
      <c r="J24" s="45">
        <f t="shared" si="3"/>
        <v>1130.7631003432716</v>
      </c>
      <c r="K24" s="46">
        <f t="shared" si="4"/>
        <v>0.29259002001644518</v>
      </c>
    </row>
    <row r="25" spans="1:11" x14ac:dyDescent="0.35">
      <c r="A25" s="5"/>
      <c r="F25" s="35">
        <f t="shared" si="0"/>
        <v>22</v>
      </c>
      <c r="G25" s="41">
        <f t="shared" si="1"/>
        <v>4068.8594474118408</v>
      </c>
      <c r="H25" s="42">
        <f t="shared" si="2"/>
        <v>4273.9626283479856</v>
      </c>
      <c r="I25" s="66"/>
      <c r="J25" s="45">
        <f t="shared" si="3"/>
        <v>1125.1092848415553</v>
      </c>
      <c r="K25" s="46">
        <f t="shared" si="4"/>
        <v>0.30136772061693856</v>
      </c>
    </row>
    <row r="26" spans="1:11" x14ac:dyDescent="0.35">
      <c r="A26" s="5"/>
      <c r="C26" s="4"/>
      <c r="F26" s="35">
        <f t="shared" si="0"/>
        <v>23</v>
      </c>
      <c r="G26" s="41">
        <f t="shared" si="1"/>
        <v>4169.9706046800247</v>
      </c>
      <c r="H26" s="42">
        <f t="shared" si="2"/>
        <v>4401.7541109355907</v>
      </c>
      <c r="I26" s="66"/>
      <c r="J26" s="45">
        <f t="shared" si="3"/>
        <v>1119.4837384173475</v>
      </c>
      <c r="K26" s="46">
        <f t="shared" si="4"/>
        <v>0.31040875223544673</v>
      </c>
    </row>
    <row r="27" spans="1:11" x14ac:dyDescent="0.35">
      <c r="A27" s="5"/>
      <c r="F27" s="35">
        <f t="shared" si="0"/>
        <v>24</v>
      </c>
      <c r="G27" s="41">
        <f t="shared" si="1"/>
        <v>4273.5943742063237</v>
      </c>
      <c r="H27" s="42">
        <f t="shared" si="2"/>
        <v>4533.3665588525646</v>
      </c>
      <c r="I27" s="66"/>
      <c r="J27" s="45">
        <f t="shared" si="3"/>
        <v>1113.8863197252608</v>
      </c>
      <c r="K27" s="46">
        <f t="shared" si="4"/>
        <v>0.31972101480251014</v>
      </c>
    </row>
    <row r="28" spans="1:11" ht="15" thickBot="1" x14ac:dyDescent="0.4">
      <c r="A28" s="5"/>
      <c r="F28" s="47">
        <f t="shared" si="0"/>
        <v>25</v>
      </c>
      <c r="G28" s="48">
        <f t="shared" si="1"/>
        <v>4379.7931944053507</v>
      </c>
      <c r="H28" s="49">
        <f t="shared" si="2"/>
        <v>4668.9142189622562</v>
      </c>
      <c r="I28" s="68"/>
      <c r="J28" s="50">
        <f t="shared" si="3"/>
        <v>1108.3168881266345</v>
      </c>
      <c r="K28" s="51">
        <f t="shared" si="4"/>
        <v>0.32931264524658543</v>
      </c>
    </row>
    <row r="29" spans="1:11" s="5" customFormat="1" ht="15" thickBot="1" x14ac:dyDescent="0.4">
      <c r="B29"/>
      <c r="C29"/>
      <c r="D29"/>
      <c r="E29"/>
      <c r="F29"/>
      <c r="G29"/>
      <c r="H29"/>
      <c r="I29"/>
      <c r="J29"/>
      <c r="K29"/>
    </row>
    <row r="30" spans="1:11" ht="32.5" customHeight="1" x14ac:dyDescent="0.35">
      <c r="A30" s="5"/>
      <c r="G30" s="153" t="s">
        <v>26</v>
      </c>
      <c r="H30" s="154"/>
    </row>
    <row r="31" spans="1:11" ht="18.5" x14ac:dyDescent="0.45">
      <c r="F31" s="26"/>
      <c r="G31" s="11" t="s">
        <v>27</v>
      </c>
      <c r="H31" s="12" t="s">
        <v>28</v>
      </c>
      <c r="I31" s="5"/>
      <c r="J31" s="5"/>
      <c r="K31" s="5"/>
    </row>
    <row r="32" spans="1:11" s="5" customFormat="1" ht="15" thickBot="1" x14ac:dyDescent="0.4">
      <c r="A32" s="28"/>
      <c r="B32"/>
      <c r="C32"/>
      <c r="D32"/>
      <c r="E32"/>
      <c r="F32" s="1"/>
      <c r="G32" s="32">
        <f>NPV(C5,G3:G28)</f>
        <v>45169.993761261605</v>
      </c>
      <c r="H32" s="33">
        <f>NPV(C5,H3:H28)</f>
        <v>45169.993761261452</v>
      </c>
      <c r="I32"/>
      <c r="J32"/>
      <c r="K32"/>
    </row>
    <row r="33" spans="1:8" x14ac:dyDescent="0.35">
      <c r="G33" s="16"/>
      <c r="H33"/>
    </row>
    <row r="34" spans="1:8" x14ac:dyDescent="0.35">
      <c r="H34"/>
    </row>
    <row r="35" spans="1:8" x14ac:dyDescent="0.35">
      <c r="H35"/>
    </row>
    <row r="36" spans="1:8" x14ac:dyDescent="0.35">
      <c r="G36" s="19"/>
      <c r="H36"/>
    </row>
    <row r="37" spans="1:8" x14ac:dyDescent="0.35">
      <c r="H37"/>
    </row>
    <row r="38" spans="1:8" x14ac:dyDescent="0.35">
      <c r="H38"/>
    </row>
    <row r="39" spans="1:8" x14ac:dyDescent="0.35">
      <c r="H39"/>
    </row>
    <row r="40" spans="1:8" x14ac:dyDescent="0.35">
      <c r="H40"/>
    </row>
    <row r="41" spans="1:8" x14ac:dyDescent="0.35">
      <c r="H41"/>
    </row>
    <row r="42" spans="1:8" x14ac:dyDescent="0.35">
      <c r="H42"/>
    </row>
    <row r="43" spans="1:8" x14ac:dyDescent="0.35">
      <c r="A43" s="29"/>
      <c r="D43" s="20"/>
      <c r="E43" s="20"/>
      <c r="H43"/>
    </row>
    <row r="44" spans="1:8" x14ac:dyDescent="0.35">
      <c r="F44" s="19"/>
      <c r="H44"/>
    </row>
    <row r="45" spans="1:8" x14ac:dyDescent="0.35">
      <c r="B45" s="4"/>
      <c r="C45" s="4"/>
      <c r="H45"/>
    </row>
    <row r="46" spans="1:8" x14ac:dyDescent="0.35">
      <c r="B46" s="21"/>
      <c r="C46" s="4"/>
      <c r="F46" s="19"/>
      <c r="H46"/>
    </row>
    <row r="47" spans="1:8" x14ac:dyDescent="0.35">
      <c r="H47"/>
    </row>
    <row r="48" spans="1:8" x14ac:dyDescent="0.35">
      <c r="H48"/>
    </row>
    <row r="49" spans="3:8" x14ac:dyDescent="0.35">
      <c r="C49" s="17"/>
      <c r="H49"/>
    </row>
    <row r="50" spans="3:8" x14ac:dyDescent="0.35">
      <c r="H50"/>
    </row>
    <row r="51" spans="3:8" x14ac:dyDescent="0.35">
      <c r="C51" s="4"/>
      <c r="F51" s="19"/>
      <c r="H51"/>
    </row>
    <row r="52" spans="3:8" x14ac:dyDescent="0.35">
      <c r="H52"/>
    </row>
    <row r="53" spans="3:8" x14ac:dyDescent="0.35">
      <c r="H53" s="19"/>
    </row>
    <row r="54" spans="3:8" x14ac:dyDescent="0.35">
      <c r="H54" s="19"/>
    </row>
    <row r="55" spans="3:8" x14ac:dyDescent="0.35">
      <c r="H55" s="19"/>
    </row>
    <row r="56" spans="3:8" x14ac:dyDescent="0.35">
      <c r="H56" s="19"/>
    </row>
  </sheetData>
  <sheetProtection selectLockedCells="1"/>
  <protectedRanges>
    <protectedRange sqref="C17 C13" name="Inputs"/>
    <protectedRange sqref="C18" name="Inputs_1"/>
    <protectedRange sqref="C12" name="Inputs_3"/>
  </protectedRanges>
  <mergeCells count="4">
    <mergeCell ref="G30:H30"/>
    <mergeCell ref="B23:C24"/>
    <mergeCell ref="A23:A24"/>
    <mergeCell ref="D10:D11"/>
  </mergeCells>
  <conditionalFormatting sqref="C18">
    <cfRule type="cellIs" dxfId="6" priority="4" operator="lessThan">
      <formula>0</formula>
    </cfRule>
  </conditionalFormatting>
  <conditionalFormatting sqref="D10">
    <cfRule type="expression" dxfId="5" priority="1">
      <formula>C11="Other"</formula>
    </cfRule>
  </conditionalFormatting>
  <conditionalFormatting sqref="D12">
    <cfRule type="expression" dxfId="4" priority="3">
      <formula>$C$11="Other"</formula>
    </cfRule>
  </conditionalFormatting>
  <pageMargins left="0.25" right="0.25" top="0.75" bottom="0.75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21F69C-0C83-4F24-AAD6-BB50219FDA14}">
          <x14:formula1>
            <xm:f>Inputs!$A$3:$A$4</xm:f>
          </x14:formula1>
          <xm:sqref>C14</xm:sqref>
        </x14:dataValidation>
        <x14:dataValidation type="list" allowBlank="1" showInputMessage="1" showErrorMessage="1" xr:uid="{EC8206D9-9438-4E75-97AB-F31652CA9546}">
          <x14:formula1>
            <xm:f>Inputs!$A$7:$A$20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0DC8-60F5-46DF-859F-47BBD8DAC067}">
  <sheetPr codeName="Sheet4"/>
  <dimension ref="A1:M51"/>
  <sheetViews>
    <sheetView showGridLines="0" topLeftCell="A6" zoomScale="130" zoomScaleNormal="130" workbookViewId="0">
      <selection activeCell="B29" sqref="B29"/>
    </sheetView>
  </sheetViews>
  <sheetFormatPr defaultColWidth="10" defaultRowHeight="14.5" x14ac:dyDescent="0.35"/>
  <cols>
    <col min="1" max="1" width="6.1796875" style="1" customWidth="1"/>
    <col min="2" max="2" width="68.81640625" bestFit="1" customWidth="1"/>
    <col min="3" max="3" width="38" bestFit="1" customWidth="1"/>
    <col min="4" max="4" width="25.08984375" customWidth="1"/>
    <col min="5" max="5" width="3.1796875" customWidth="1"/>
    <col min="6" max="8" width="12.81640625" style="1" customWidth="1"/>
    <col min="9" max="9" width="1.1796875" customWidth="1"/>
    <col min="10" max="11" width="12.81640625" customWidth="1"/>
    <col min="12" max="12" width="4.81640625" customWidth="1"/>
    <col min="13" max="13" width="5.1796875" customWidth="1"/>
    <col min="14" max="14" width="6.81640625" customWidth="1"/>
  </cols>
  <sheetData>
    <row r="1" spans="1:13" ht="19" thickBot="1" x14ac:dyDescent="0.5">
      <c r="B1" s="6" t="s">
        <v>39</v>
      </c>
      <c r="G1" s="26"/>
      <c r="H1" s="26"/>
      <c r="I1" s="27"/>
      <c r="J1" s="26"/>
      <c r="K1" s="26"/>
    </row>
    <row r="2" spans="1:13" ht="43.5" x14ac:dyDescent="0.35">
      <c r="B2" s="30" t="s">
        <v>2</v>
      </c>
      <c r="F2" s="3" t="s">
        <v>3</v>
      </c>
      <c r="G2" s="13" t="s">
        <v>4</v>
      </c>
      <c r="H2" s="14" t="s">
        <v>40</v>
      </c>
      <c r="I2" s="65"/>
      <c r="J2" s="15" t="s">
        <v>6</v>
      </c>
      <c r="K2" s="31" t="s">
        <v>7</v>
      </c>
    </row>
    <row r="3" spans="1:13" ht="15" thickBot="1" x14ac:dyDescent="0.4">
      <c r="B3" s="30"/>
      <c r="F3" s="35">
        <v>0</v>
      </c>
      <c r="G3" s="36"/>
      <c r="H3" s="38"/>
      <c r="I3" s="66"/>
      <c r="J3" s="37"/>
      <c r="K3" s="39"/>
      <c r="M3" s="22"/>
    </row>
    <row r="4" spans="1:13" ht="18.5" x14ac:dyDescent="0.35">
      <c r="A4" s="84"/>
      <c r="B4" s="7" t="s">
        <v>8</v>
      </c>
      <c r="C4" s="8"/>
      <c r="F4" s="40">
        <f t="shared" ref="F4:F28" si="0">IF(F3&gt;=$C$7,"",F3+1)</f>
        <v>1</v>
      </c>
      <c r="G4" s="41">
        <f>K4*J4*12</f>
        <v>787.5</v>
      </c>
      <c r="H4" s="42">
        <f>((NPV(C5,G4:G28)*C5)/(1-(1+C5)^-C14))</f>
        <v>1012.761197268477</v>
      </c>
      <c r="I4" s="66"/>
      <c r="J4" s="43">
        <f>C13/12</f>
        <v>750</v>
      </c>
      <c r="K4" s="44">
        <f>C12</f>
        <v>8.7499999999999994E-2</v>
      </c>
      <c r="M4" s="23"/>
    </row>
    <row r="5" spans="1:13" ht="18.5" x14ac:dyDescent="0.35">
      <c r="A5" s="84">
        <v>1</v>
      </c>
      <c r="B5" s="2" t="s">
        <v>9</v>
      </c>
      <c r="C5" s="52">
        <v>4.7500000000000001E-2</v>
      </c>
      <c r="F5" s="35">
        <f t="shared" si="0"/>
        <v>2</v>
      </c>
      <c r="G5" s="41">
        <f t="shared" ref="G5:G28" si="1">IF($F5&lt;&gt;"",J5*K5*12,"")</f>
        <v>807.06937500000004</v>
      </c>
      <c r="H5" s="42">
        <f t="shared" ref="H5:H28" si="2">IF($F5&lt;=$C$14,H4,"")</f>
        <v>1012.761197268477</v>
      </c>
      <c r="I5" s="66"/>
      <c r="J5" s="45">
        <f t="shared" ref="J5:J28" si="3">IF($F5&lt;&gt;"",J4*(1-$C$6),"")</f>
        <v>746.25</v>
      </c>
      <c r="K5" s="46">
        <f t="shared" ref="K5:K28" si="4">IF($F5&lt;&gt;"",K4*(1+$C$8),"")</f>
        <v>9.0124999999999997E-2</v>
      </c>
      <c r="M5" s="20"/>
    </row>
    <row r="6" spans="1:13" ht="18.5" x14ac:dyDescent="0.35">
      <c r="A6" s="84">
        <v>2</v>
      </c>
      <c r="B6" s="9" t="s">
        <v>10</v>
      </c>
      <c r="C6" s="52">
        <v>5.0000000000000001E-3</v>
      </c>
      <c r="F6" s="35">
        <f t="shared" si="0"/>
        <v>3</v>
      </c>
      <c r="G6" s="41">
        <f t="shared" si="1"/>
        <v>827.12504896874998</v>
      </c>
      <c r="H6" s="42">
        <f t="shared" si="2"/>
        <v>1012.761197268477</v>
      </c>
      <c r="I6" s="66"/>
      <c r="J6" s="45">
        <f t="shared" si="3"/>
        <v>742.51874999999995</v>
      </c>
      <c r="K6" s="46">
        <f t="shared" si="4"/>
        <v>9.2828750000000002E-2</v>
      </c>
    </row>
    <row r="7" spans="1:13" ht="18.5" x14ac:dyDescent="0.35">
      <c r="A7" s="84">
        <v>3</v>
      </c>
      <c r="B7" s="9" t="s">
        <v>41</v>
      </c>
      <c r="C7" s="34">
        <v>25</v>
      </c>
      <c r="F7" s="35">
        <f t="shared" si="0"/>
        <v>4</v>
      </c>
      <c r="G7" s="41">
        <f t="shared" si="1"/>
        <v>847.67910643562334</v>
      </c>
      <c r="H7" s="42">
        <f t="shared" si="2"/>
        <v>1012.761197268477</v>
      </c>
      <c r="I7" s="66"/>
      <c r="J7" s="45">
        <f t="shared" si="3"/>
        <v>738.80615624999996</v>
      </c>
      <c r="K7" s="46">
        <f t="shared" si="4"/>
        <v>9.56136125E-2</v>
      </c>
    </row>
    <row r="8" spans="1:13" ht="19" thickBot="1" x14ac:dyDescent="0.4">
      <c r="A8" s="87">
        <v>4</v>
      </c>
      <c r="B8" s="10" t="s">
        <v>12</v>
      </c>
      <c r="C8" s="57">
        <v>0.03</v>
      </c>
      <c r="F8" s="35">
        <f t="shared" si="0"/>
        <v>5</v>
      </c>
      <c r="G8" s="41">
        <f t="shared" si="1"/>
        <v>868.74393223054858</v>
      </c>
      <c r="H8" s="42">
        <f t="shared" si="2"/>
        <v>1012.761197268477</v>
      </c>
      <c r="I8" s="66"/>
      <c r="J8" s="45">
        <f t="shared" si="3"/>
        <v>735.11212546874992</v>
      </c>
      <c r="K8" s="46">
        <f t="shared" si="4"/>
        <v>9.8482020875000006E-2</v>
      </c>
    </row>
    <row r="9" spans="1:13" ht="18.649999999999999" customHeight="1" thickBot="1" x14ac:dyDescent="0.4">
      <c r="A9" s="87"/>
      <c r="F9" s="35">
        <f t="shared" si="0"/>
        <v>6</v>
      </c>
      <c r="G9" s="41">
        <f t="shared" si="1"/>
        <v>890.33221894647784</v>
      </c>
      <c r="H9" s="42">
        <f t="shared" si="2"/>
        <v>1012.761197268477</v>
      </c>
      <c r="I9" s="66"/>
      <c r="J9" s="45">
        <f t="shared" si="3"/>
        <v>731.43656484140615</v>
      </c>
      <c r="K9" s="46">
        <f t="shared" si="4"/>
        <v>0.10143648150125001</v>
      </c>
    </row>
    <row r="10" spans="1:13" ht="18.5" x14ac:dyDescent="0.35">
      <c r="A10" s="87"/>
      <c r="B10" s="7" t="s">
        <v>42</v>
      </c>
      <c r="C10" s="8"/>
      <c r="D10" s="141" t="str">
        <f>IF(C11="Other","Input Custom Utility Electric Rate Below ($/kWh)","")</f>
        <v>Input Custom Utility Electric Rate Below ($/kWh)</v>
      </c>
      <c r="F10" s="40">
        <f t="shared" si="0"/>
        <v>7</v>
      </c>
      <c r="G10" s="41">
        <f t="shared" si="1"/>
        <v>912.45697458729796</v>
      </c>
      <c r="H10" s="42">
        <f t="shared" si="2"/>
        <v>1012.761197268477</v>
      </c>
      <c r="I10" s="66"/>
      <c r="J10" s="45">
        <f t="shared" si="3"/>
        <v>727.77938201719917</v>
      </c>
      <c r="K10" s="46">
        <f t="shared" si="4"/>
        <v>0.10447957594628751</v>
      </c>
    </row>
    <row r="11" spans="1:13" ht="18.5" x14ac:dyDescent="0.35">
      <c r="A11" s="87">
        <v>5</v>
      </c>
      <c r="B11" s="9" t="s">
        <v>14</v>
      </c>
      <c r="C11" s="89" t="s">
        <v>88</v>
      </c>
      <c r="D11" s="141"/>
      <c r="F11" s="35">
        <f t="shared" si="0"/>
        <v>8</v>
      </c>
      <c r="G11" s="41">
        <f t="shared" si="1"/>
        <v>935.13153040579232</v>
      </c>
      <c r="H11" s="42">
        <f t="shared" si="2"/>
        <v>1012.761197268477</v>
      </c>
      <c r="I11" s="66"/>
      <c r="J11" s="45">
        <f t="shared" si="3"/>
        <v>724.14048510711314</v>
      </c>
      <c r="K11" s="46">
        <f t="shared" si="4"/>
        <v>0.10761396322467615</v>
      </c>
    </row>
    <row r="12" spans="1:13" ht="18.5" x14ac:dyDescent="0.35">
      <c r="A12" s="87">
        <v>6</v>
      </c>
      <c r="B12" s="9" t="s">
        <v>43</v>
      </c>
      <c r="C12" s="58">
        <f>IFERROR(IF(C11="Other",(D12-D12*0.3),VLOOKUP(C11,Inputs!A7:D20,4,FALSE)),0)</f>
        <v>8.7499999999999994E-2</v>
      </c>
      <c r="D12" s="104">
        <v>0.125</v>
      </c>
      <c r="F12" s="35">
        <f t="shared" si="0"/>
        <v>9</v>
      </c>
      <c r="G12" s="41">
        <f t="shared" si="1"/>
        <v>958.3695489363763</v>
      </c>
      <c r="H12" s="42">
        <f t="shared" si="2"/>
        <v>1012.761197268477</v>
      </c>
      <c r="I12" s="66"/>
      <c r="J12" s="45">
        <f t="shared" si="3"/>
        <v>720.51978268157757</v>
      </c>
      <c r="K12" s="46">
        <f t="shared" si="4"/>
        <v>0.11084238212141644</v>
      </c>
    </row>
    <row r="13" spans="1:13" ht="18.5" x14ac:dyDescent="0.35">
      <c r="A13" s="87">
        <v>7</v>
      </c>
      <c r="B13" s="9" t="s">
        <v>17</v>
      </c>
      <c r="C13" s="90">
        <v>9000</v>
      </c>
      <c r="F13" s="35">
        <f t="shared" si="0"/>
        <v>10</v>
      </c>
      <c r="G13" s="41">
        <f t="shared" si="1"/>
        <v>982.18503222744516</v>
      </c>
      <c r="H13" s="42">
        <f t="shared" si="2"/>
        <v>1012.761197268477</v>
      </c>
      <c r="I13" s="66"/>
      <c r="J13" s="45">
        <f t="shared" si="3"/>
        <v>716.91718376816971</v>
      </c>
      <c r="K13" s="46">
        <f t="shared" si="4"/>
        <v>0.11416765358505893</v>
      </c>
    </row>
    <row r="14" spans="1:13" ht="18.5" x14ac:dyDescent="0.35">
      <c r="A14" s="87">
        <v>8</v>
      </c>
      <c r="B14" s="9" t="s">
        <v>44</v>
      </c>
      <c r="C14" s="102">
        <v>25</v>
      </c>
      <c r="F14" s="35">
        <f t="shared" si="0"/>
        <v>11</v>
      </c>
      <c r="G14" s="41">
        <f t="shared" si="1"/>
        <v>1006.5923302782971</v>
      </c>
      <c r="H14" s="42">
        <f t="shared" si="2"/>
        <v>1012.761197268477</v>
      </c>
      <c r="I14" s="66"/>
      <c r="J14" s="45">
        <f t="shared" si="3"/>
        <v>713.33259784932886</v>
      </c>
      <c r="K14" s="46">
        <f t="shared" si="4"/>
        <v>0.11759268319261069</v>
      </c>
    </row>
    <row r="15" spans="1:13" ht="18.5" x14ac:dyDescent="0.35">
      <c r="A15" s="87">
        <v>9</v>
      </c>
      <c r="B15" s="69" t="s">
        <v>45</v>
      </c>
      <c r="C15" s="103">
        <v>0.04</v>
      </c>
      <c r="F15" s="35">
        <f t="shared" si="0"/>
        <v>12</v>
      </c>
      <c r="G15" s="41">
        <f t="shared" si="1"/>
        <v>1031.6061496857128</v>
      </c>
      <c r="H15" s="42">
        <f t="shared" si="2"/>
        <v>1012.761197268477</v>
      </c>
      <c r="I15" s="66"/>
      <c r="J15" s="45">
        <f t="shared" si="3"/>
        <v>709.76593486008221</v>
      </c>
      <c r="K15" s="46">
        <f t="shared" si="4"/>
        <v>0.12112046368838902</v>
      </c>
    </row>
    <row r="16" spans="1:13" ht="18.5" x14ac:dyDescent="0.35">
      <c r="A16" s="87">
        <v>10</v>
      </c>
      <c r="B16" s="60" t="s">
        <v>46</v>
      </c>
      <c r="C16" s="92">
        <v>40000</v>
      </c>
      <c r="F16" s="35">
        <f t="shared" si="0"/>
        <v>13</v>
      </c>
      <c r="G16" s="41">
        <f t="shared" si="1"/>
        <v>1057.2415625054027</v>
      </c>
      <c r="H16" s="42">
        <f t="shared" si="2"/>
        <v>1012.761197268477</v>
      </c>
      <c r="I16" s="66"/>
      <c r="J16" s="45">
        <f t="shared" si="3"/>
        <v>706.21710518578175</v>
      </c>
      <c r="K16" s="46">
        <f t="shared" si="4"/>
        <v>0.1247540775990407</v>
      </c>
    </row>
    <row r="17" spans="1:11" ht="18.5" x14ac:dyDescent="0.35">
      <c r="A17" s="87">
        <v>11</v>
      </c>
      <c r="B17" s="59" t="s">
        <v>47</v>
      </c>
      <c r="C17" s="92">
        <v>5000</v>
      </c>
      <c r="F17" s="35">
        <f t="shared" si="0"/>
        <v>14</v>
      </c>
      <c r="G17" s="41">
        <f t="shared" si="1"/>
        <v>1083.5140153336622</v>
      </c>
      <c r="H17" s="42">
        <f t="shared" si="2"/>
        <v>1012.761197268477</v>
      </c>
      <c r="I17" s="66"/>
      <c r="J17" s="45">
        <f t="shared" si="3"/>
        <v>702.68601965985283</v>
      </c>
      <c r="K17" s="46">
        <f t="shared" si="4"/>
        <v>0.12849669992701193</v>
      </c>
    </row>
    <row r="18" spans="1:11" ht="60.65" customHeight="1" x14ac:dyDescent="0.35">
      <c r="A18" s="87">
        <v>12</v>
      </c>
      <c r="B18" s="59" t="s">
        <v>48</v>
      </c>
      <c r="C18" s="92">
        <v>5500</v>
      </c>
      <c r="F18" s="35">
        <f t="shared" si="0"/>
        <v>15</v>
      </c>
      <c r="G18" s="41">
        <f t="shared" si="1"/>
        <v>1110.4393386147037</v>
      </c>
      <c r="H18" s="42">
        <f t="shared" si="2"/>
        <v>1012.761197268477</v>
      </c>
      <c r="I18" s="66"/>
      <c r="J18" s="45">
        <f t="shared" si="3"/>
        <v>699.17258956155354</v>
      </c>
      <c r="K18" s="46">
        <f t="shared" si="4"/>
        <v>0.13235160092482229</v>
      </c>
    </row>
    <row r="19" spans="1:11" ht="15" thickBot="1" x14ac:dyDescent="0.4">
      <c r="A19"/>
      <c r="F19" s="40">
        <f t="shared" si="0"/>
        <v>16</v>
      </c>
      <c r="G19" s="41">
        <f t="shared" si="1"/>
        <v>1138.0337561792794</v>
      </c>
      <c r="H19" s="42">
        <f t="shared" si="2"/>
        <v>1012.761197268477</v>
      </c>
      <c r="I19" s="66"/>
      <c r="J19" s="45">
        <f t="shared" si="3"/>
        <v>695.67672661374581</v>
      </c>
      <c r="K19" s="46">
        <f t="shared" si="4"/>
        <v>0.13632214895256697</v>
      </c>
    </row>
    <row r="20" spans="1:11" ht="29" x14ac:dyDescent="0.35">
      <c r="A20" s="86">
        <v>13</v>
      </c>
      <c r="B20" s="62" t="s">
        <v>49</v>
      </c>
      <c r="C20" s="72">
        <f>C16-C17-C18</f>
        <v>29500</v>
      </c>
      <c r="F20" s="35">
        <f t="shared" si="0"/>
        <v>17</v>
      </c>
      <c r="G20" s="41">
        <f t="shared" si="1"/>
        <v>1166.3138950203343</v>
      </c>
      <c r="H20" s="42">
        <f t="shared" si="2"/>
        <v>1012.761197268477</v>
      </c>
      <c r="I20" s="66"/>
      <c r="J20" s="45">
        <f t="shared" si="3"/>
        <v>692.19834298067713</v>
      </c>
      <c r="K20" s="46">
        <f t="shared" si="4"/>
        <v>0.14041181342114398</v>
      </c>
    </row>
    <row r="21" spans="1:11" ht="18.5" x14ac:dyDescent="0.35">
      <c r="A21" s="86">
        <v>14</v>
      </c>
      <c r="B21" s="74" t="s">
        <v>50</v>
      </c>
      <c r="C21" s="75">
        <f xml:space="preserve">
PV(C15/12,C14*12,-C22,0,0)</f>
        <v>15810.983572655687</v>
      </c>
      <c r="F21" s="35">
        <f t="shared" si="0"/>
        <v>18</v>
      </c>
      <c r="G21" s="41">
        <f t="shared" si="1"/>
        <v>1195.2967953115897</v>
      </c>
      <c r="H21" s="42">
        <f t="shared" si="2"/>
        <v>1012.761197268477</v>
      </c>
      <c r="I21" s="66"/>
      <c r="J21" s="45">
        <f t="shared" si="3"/>
        <v>688.73735126577378</v>
      </c>
      <c r="K21" s="46">
        <f t="shared" si="4"/>
        <v>0.14462416782377829</v>
      </c>
    </row>
    <row r="22" spans="1:11" ht="15" customHeight="1" thickBot="1" x14ac:dyDescent="0.4">
      <c r="A22" s="87">
        <v>15</v>
      </c>
      <c r="B22" s="63" t="s">
        <v>51</v>
      </c>
      <c r="C22" s="137">
        <f>-PMT(C5/12,C7*12,G32)</f>
        <v>83.456196109905079</v>
      </c>
      <c r="F22" s="35">
        <f t="shared" si="0"/>
        <v>19</v>
      </c>
      <c r="G22" s="41">
        <f t="shared" si="1"/>
        <v>1224.9999206750829</v>
      </c>
      <c r="H22" s="42">
        <f t="shared" si="2"/>
        <v>1012.761197268477</v>
      </c>
      <c r="I22" s="67"/>
      <c r="J22" s="45">
        <f t="shared" si="3"/>
        <v>685.29366450944497</v>
      </c>
      <c r="K22" s="46">
        <f t="shared" si="4"/>
        <v>0.14896289285849165</v>
      </c>
    </row>
    <row r="23" spans="1:11" s="5" customFormat="1" ht="15" customHeight="1" thickBot="1" x14ac:dyDescent="0.4">
      <c r="A23" s="139"/>
      <c r="C23" s="136"/>
      <c r="D23"/>
      <c r="F23" s="35">
        <f t="shared" si="0"/>
        <v>20</v>
      </c>
      <c r="G23" s="41">
        <f t="shared" si="1"/>
        <v>1255.4411687038587</v>
      </c>
      <c r="H23" s="42">
        <f t="shared" si="2"/>
        <v>1012.761197268477</v>
      </c>
      <c r="I23" s="66"/>
      <c r="J23" s="45">
        <f t="shared" si="3"/>
        <v>681.86719618689779</v>
      </c>
      <c r="K23" s="46">
        <f t="shared" si="4"/>
        <v>0.1534317796442464</v>
      </c>
    </row>
    <row r="24" spans="1:11" ht="18.649999999999999" customHeight="1" x14ac:dyDescent="0.35">
      <c r="A24" s="155">
        <v>16</v>
      </c>
      <c r="B24" s="145" t="str">
        <f>IF(C20&lt;=C21,Inputs!A24,Inputs!A25)</f>
        <v>The system design does not meet MEA program requirements.</v>
      </c>
      <c r="C24" s="146"/>
      <c r="F24" s="35">
        <f t="shared" si="0"/>
        <v>21</v>
      </c>
      <c r="G24" s="41">
        <f t="shared" si="1"/>
        <v>1286.6388817461495</v>
      </c>
      <c r="H24" s="42">
        <f t="shared" si="2"/>
        <v>1012.761197268477</v>
      </c>
      <c r="I24" s="66"/>
      <c r="J24" s="45">
        <f t="shared" si="3"/>
        <v>678.45786020596324</v>
      </c>
      <c r="K24" s="46">
        <f t="shared" si="4"/>
        <v>0.15803473303357379</v>
      </c>
    </row>
    <row r="25" spans="1:11" ht="19" customHeight="1" thickBot="1" x14ac:dyDescent="0.4">
      <c r="A25" s="155"/>
      <c r="B25" s="147"/>
      <c r="C25" s="148"/>
      <c r="F25" s="35">
        <f t="shared" si="0"/>
        <v>22</v>
      </c>
      <c r="G25" s="41">
        <f t="shared" si="1"/>
        <v>1318.6118579575416</v>
      </c>
      <c r="H25" s="42">
        <f t="shared" si="2"/>
        <v>1012.761197268477</v>
      </c>
      <c r="I25" s="66"/>
      <c r="J25" s="45">
        <f t="shared" si="3"/>
        <v>675.06557090493345</v>
      </c>
      <c r="K25" s="46">
        <f t="shared" si="4"/>
        <v>0.16277577502458102</v>
      </c>
    </row>
    <row r="26" spans="1:11" x14ac:dyDescent="0.35">
      <c r="B26" s="5"/>
      <c r="C26" s="5"/>
      <c r="F26" s="35">
        <f t="shared" si="0"/>
        <v>23</v>
      </c>
      <c r="G26" s="41">
        <f t="shared" si="1"/>
        <v>1351.3793626277863</v>
      </c>
      <c r="H26" s="42">
        <f t="shared" si="2"/>
        <v>1012.761197268477</v>
      </c>
      <c r="I26" s="66"/>
      <c r="J26" s="45">
        <f t="shared" si="3"/>
        <v>671.69024305040875</v>
      </c>
      <c r="K26" s="46">
        <f t="shared" si="4"/>
        <v>0.16765904827531844</v>
      </c>
    </row>
    <row r="27" spans="1:11" x14ac:dyDescent="0.35">
      <c r="B27" s="5"/>
      <c r="C27" s="5"/>
      <c r="F27" s="35">
        <f t="shared" si="0"/>
        <v>24</v>
      </c>
      <c r="G27" s="41">
        <f t="shared" si="1"/>
        <v>1384.9611397890867</v>
      </c>
      <c r="H27" s="42">
        <f t="shared" si="2"/>
        <v>1012.761197268477</v>
      </c>
      <c r="I27" s="66"/>
      <c r="J27" s="45">
        <f t="shared" si="3"/>
        <v>668.33179183515665</v>
      </c>
      <c r="K27" s="46">
        <f t="shared" si="4"/>
        <v>0.172688819723578</v>
      </c>
    </row>
    <row r="28" spans="1:11" ht="15" thickBot="1" x14ac:dyDescent="0.4">
      <c r="A28" s="28"/>
      <c r="B28" s="5"/>
      <c r="C28" s="5"/>
      <c r="F28" s="47">
        <f t="shared" si="0"/>
        <v>25</v>
      </c>
      <c r="G28" s="48">
        <f t="shared" si="1"/>
        <v>1419.3774241128456</v>
      </c>
      <c r="H28" s="49">
        <f t="shared" si="2"/>
        <v>1012.761197268477</v>
      </c>
      <c r="I28" s="68"/>
      <c r="J28" s="50">
        <f t="shared" si="3"/>
        <v>664.99013287598086</v>
      </c>
      <c r="K28" s="51">
        <f t="shared" si="4"/>
        <v>0.17786948431528535</v>
      </c>
    </row>
    <row r="29" spans="1:11" s="5" customFormat="1" ht="15" thickBot="1" x14ac:dyDescent="0.4">
      <c r="A29" s="1"/>
      <c r="F29"/>
      <c r="G29"/>
      <c r="H29"/>
      <c r="I29"/>
      <c r="J29"/>
      <c r="K29"/>
    </row>
    <row r="30" spans="1:11" ht="29.15" customHeight="1" x14ac:dyDescent="0.35">
      <c r="B30" s="5"/>
      <c r="C30" s="5"/>
      <c r="G30" s="149" t="s">
        <v>26</v>
      </c>
      <c r="H30" s="150"/>
    </row>
    <row r="31" spans="1:11" ht="18.5" x14ac:dyDescent="0.45">
      <c r="A31" s="28"/>
      <c r="B31" s="5"/>
      <c r="C31" s="5"/>
      <c r="F31" s="26"/>
      <c r="G31" s="11" t="s">
        <v>27</v>
      </c>
      <c r="H31" s="12" t="s">
        <v>52</v>
      </c>
      <c r="I31" s="5"/>
      <c r="J31" s="5"/>
      <c r="K31" s="5"/>
    </row>
    <row r="32" spans="1:11" s="5" customFormat="1" ht="15" thickBot="1" x14ac:dyDescent="0.4">
      <c r="A32" s="1"/>
      <c r="D32"/>
      <c r="E32"/>
      <c r="F32" s="1"/>
      <c r="G32" s="32">
        <f>NPV(C5,G3:G28)</f>
        <v>14638.423904112553</v>
      </c>
      <c r="H32" s="33">
        <f>NPV(C5,H3:H28)</f>
        <v>14638.42390411252</v>
      </c>
      <c r="I32"/>
      <c r="J32"/>
      <c r="K32"/>
    </row>
    <row r="33" spans="1:8" x14ac:dyDescent="0.35">
      <c r="B33" s="5"/>
      <c r="C33" s="5"/>
      <c r="G33" s="16"/>
      <c r="H33" s="24"/>
    </row>
    <row r="34" spans="1:8" x14ac:dyDescent="0.35">
      <c r="B34" s="5"/>
      <c r="C34" s="5"/>
      <c r="H34" s="18"/>
    </row>
    <row r="35" spans="1:8" x14ac:dyDescent="0.35">
      <c r="H35"/>
    </row>
    <row r="36" spans="1:8" x14ac:dyDescent="0.35">
      <c r="G36" s="19"/>
      <c r="H36"/>
    </row>
    <row r="37" spans="1:8" x14ac:dyDescent="0.35">
      <c r="H37"/>
    </row>
    <row r="38" spans="1:8" x14ac:dyDescent="0.35">
      <c r="H38" s="4"/>
    </row>
    <row r="39" spans="1:8" x14ac:dyDescent="0.35">
      <c r="C39" s="4"/>
      <c r="H39"/>
    </row>
    <row r="40" spans="1:8" x14ac:dyDescent="0.35">
      <c r="C40" s="4"/>
      <c r="H40"/>
    </row>
    <row r="41" spans="1:8" x14ac:dyDescent="0.35">
      <c r="B41" s="1"/>
      <c r="H41"/>
    </row>
    <row r="42" spans="1:8" x14ac:dyDescent="0.35">
      <c r="A42" s="29"/>
      <c r="H42"/>
    </row>
    <row r="43" spans="1:8" x14ac:dyDescent="0.35">
      <c r="D43" s="20"/>
      <c r="E43" s="20"/>
      <c r="H43"/>
    </row>
    <row r="44" spans="1:8" x14ac:dyDescent="0.35">
      <c r="B44" s="4"/>
      <c r="C44" s="4"/>
      <c r="F44" s="19"/>
      <c r="H44"/>
    </row>
    <row r="45" spans="1:8" x14ac:dyDescent="0.35">
      <c r="B45" s="21"/>
      <c r="C45" s="4"/>
      <c r="H45"/>
    </row>
    <row r="46" spans="1:8" x14ac:dyDescent="0.35">
      <c r="F46" s="19"/>
    </row>
    <row r="48" spans="1:8" x14ac:dyDescent="0.35">
      <c r="C48" s="17"/>
    </row>
    <row r="50" spans="3:6" x14ac:dyDescent="0.35">
      <c r="C50" s="4"/>
    </row>
    <row r="51" spans="3:6" x14ac:dyDescent="0.35">
      <c r="F51" s="19"/>
    </row>
  </sheetData>
  <sheetProtection selectLockedCells="1"/>
  <protectedRanges>
    <protectedRange sqref="C13:C14" name="Inputs"/>
    <protectedRange sqref="C12" name="Inputs_1"/>
  </protectedRanges>
  <mergeCells count="4">
    <mergeCell ref="G30:H30"/>
    <mergeCell ref="B24:C25"/>
    <mergeCell ref="A24:A25"/>
    <mergeCell ref="D10:D11"/>
  </mergeCells>
  <conditionalFormatting sqref="D12">
    <cfRule type="expression" dxfId="3" priority="1">
      <formula>$C$11&lt;&gt;"Other"</formula>
    </cfRule>
    <cfRule type="expression" dxfId="2" priority="2">
      <formula>$C$11="Other"</formula>
    </cfRule>
  </conditionalFormatting>
  <pageMargins left="0.25" right="0.25" top="0.75" bottom="0.75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5518B-FB34-4E61-A6D8-5F28B64F7C89}">
          <x14:formula1>
            <xm:f>Inputs!$A$7:$A$20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07A1-CD4F-4F99-BB1A-07838A3E1980}">
  <sheetPr codeName="Sheet5"/>
  <dimension ref="A1:L51"/>
  <sheetViews>
    <sheetView showGridLines="0" zoomScale="115" zoomScaleNormal="115" workbookViewId="0">
      <selection activeCell="D19" sqref="D19"/>
    </sheetView>
  </sheetViews>
  <sheetFormatPr defaultColWidth="10" defaultRowHeight="14.5" x14ac:dyDescent="0.35"/>
  <cols>
    <col min="1" max="1" width="6.1796875" style="1" customWidth="1"/>
    <col min="2" max="2" width="68.81640625" bestFit="1" customWidth="1"/>
    <col min="3" max="3" width="40" bestFit="1" customWidth="1"/>
    <col min="4" max="4" width="25.08984375" customWidth="1"/>
    <col min="5" max="5" width="3.1796875" customWidth="1"/>
    <col min="6" max="7" width="12.81640625" style="1" customWidth="1"/>
    <col min="8" max="8" width="1.1796875" customWidth="1"/>
    <col min="9" max="10" width="12.81640625" customWidth="1"/>
    <col min="11" max="11" width="4.81640625" customWidth="1"/>
    <col min="12" max="12" width="5.1796875" customWidth="1"/>
    <col min="13" max="13" width="6.81640625" customWidth="1"/>
  </cols>
  <sheetData>
    <row r="1" spans="1:12" ht="19" thickBot="1" x14ac:dyDescent="0.5">
      <c r="B1" s="6" t="s">
        <v>53</v>
      </c>
      <c r="G1" s="26"/>
      <c r="H1" s="27"/>
      <c r="I1" s="26"/>
      <c r="J1" s="26"/>
    </row>
    <row r="2" spans="1:12" ht="43.5" x14ac:dyDescent="0.35">
      <c r="B2" s="30" t="s">
        <v>2</v>
      </c>
      <c r="F2" s="3" t="s">
        <v>3</v>
      </c>
      <c r="G2" s="13" t="s">
        <v>4</v>
      </c>
      <c r="H2" s="65"/>
      <c r="I2" s="15" t="s">
        <v>6</v>
      </c>
      <c r="J2" s="31" t="s">
        <v>7</v>
      </c>
    </row>
    <row r="3" spans="1:12" ht="15" thickBot="1" x14ac:dyDescent="0.4">
      <c r="B3" s="30"/>
      <c r="F3" s="35">
        <v>0</v>
      </c>
      <c r="G3" s="36"/>
      <c r="H3" s="66"/>
      <c r="I3" s="37"/>
      <c r="J3" s="39"/>
      <c r="L3" s="22"/>
    </row>
    <row r="4" spans="1:12" ht="18.5" x14ac:dyDescent="0.35">
      <c r="A4" s="84"/>
      <c r="B4" s="7" t="s">
        <v>8</v>
      </c>
      <c r="C4" s="8"/>
      <c r="F4" s="40">
        <f t="shared" ref="F4:F28" si="0">IF(F3&gt;=$C$7,"",F3+1)</f>
        <v>1</v>
      </c>
      <c r="G4" s="41">
        <f>J4*I4*12</f>
        <v>429.99999999999994</v>
      </c>
      <c r="H4" s="66"/>
      <c r="I4" s="43">
        <f>C13/12</f>
        <v>416.66666666666669</v>
      </c>
      <c r="J4" s="44">
        <f>C12</f>
        <v>8.5999999999999993E-2</v>
      </c>
      <c r="L4" s="23"/>
    </row>
    <row r="5" spans="1:12" ht="18.5" x14ac:dyDescent="0.35">
      <c r="A5" s="84">
        <v>1</v>
      </c>
      <c r="B5" s="2" t="s">
        <v>9</v>
      </c>
      <c r="C5" s="52">
        <v>4.7500000000000001E-2</v>
      </c>
      <c r="F5" s="35">
        <f t="shared" si="0"/>
        <v>2</v>
      </c>
      <c r="G5" s="41">
        <f t="shared" ref="G5:G28" si="1">IF($F5&lt;&gt;"",I5*J5*12,"")</f>
        <v>440.68549999999993</v>
      </c>
      <c r="H5" s="66"/>
      <c r="I5" s="45">
        <f t="shared" ref="I5:I28" si="2">IF($F5&lt;&gt;"",I4*(1-$C$6),"")</f>
        <v>414.58333333333337</v>
      </c>
      <c r="J5" s="46">
        <f t="shared" ref="J5:J28" si="3">IF($F5&lt;&gt;"",J4*(1+$C$8),"")</f>
        <v>8.8579999999999992E-2</v>
      </c>
      <c r="L5" s="20"/>
    </row>
    <row r="6" spans="1:12" ht="18.5" x14ac:dyDescent="0.35">
      <c r="A6" s="84">
        <v>2</v>
      </c>
      <c r="B6" s="9" t="s">
        <v>10</v>
      </c>
      <c r="C6" s="52">
        <v>5.0000000000000001E-3</v>
      </c>
      <c r="F6" s="35">
        <f t="shared" si="0"/>
        <v>3</v>
      </c>
      <c r="G6" s="41">
        <f t="shared" si="1"/>
        <v>451.63653467500001</v>
      </c>
      <c r="H6" s="66"/>
      <c r="I6" s="45">
        <f t="shared" si="2"/>
        <v>412.51041666666669</v>
      </c>
      <c r="J6" s="46">
        <f t="shared" si="3"/>
        <v>9.1237399999999996E-2</v>
      </c>
    </row>
    <row r="7" spans="1:12" ht="18.5" x14ac:dyDescent="0.35">
      <c r="A7" s="84">
        <v>3</v>
      </c>
      <c r="B7" s="9" t="s">
        <v>54</v>
      </c>
      <c r="C7" s="34">
        <v>25</v>
      </c>
      <c r="F7" s="35">
        <f t="shared" si="0"/>
        <v>4</v>
      </c>
      <c r="G7" s="41">
        <f t="shared" si="1"/>
        <v>462.85970256167377</v>
      </c>
      <c r="H7" s="66"/>
      <c r="I7" s="45">
        <f t="shared" si="2"/>
        <v>410.44786458333334</v>
      </c>
      <c r="J7" s="46">
        <f t="shared" si="3"/>
        <v>9.3974522000000005E-2</v>
      </c>
    </row>
    <row r="8" spans="1:12" ht="19" thickBot="1" x14ac:dyDescent="0.4">
      <c r="A8" s="84">
        <v>4</v>
      </c>
      <c r="B8" s="10" t="s">
        <v>12</v>
      </c>
      <c r="C8" s="57">
        <v>0.03</v>
      </c>
      <c r="F8" s="35">
        <f t="shared" si="0"/>
        <v>5</v>
      </c>
      <c r="G8" s="41">
        <f t="shared" si="1"/>
        <v>474.36176617033141</v>
      </c>
      <c r="H8" s="66"/>
      <c r="I8" s="45">
        <f t="shared" si="2"/>
        <v>408.39562526041669</v>
      </c>
      <c r="J8" s="46">
        <f t="shared" si="3"/>
        <v>9.6793757660000007E-2</v>
      </c>
    </row>
    <row r="9" spans="1:12" ht="18.649999999999999" customHeight="1" thickBot="1" x14ac:dyDescent="0.4">
      <c r="A9" s="87"/>
      <c r="F9" s="35">
        <f t="shared" si="0"/>
        <v>6</v>
      </c>
      <c r="G9" s="41">
        <f t="shared" si="1"/>
        <v>486.14965605966415</v>
      </c>
      <c r="H9" s="66"/>
      <c r="I9" s="45">
        <f t="shared" si="2"/>
        <v>406.35364713411462</v>
      </c>
      <c r="J9" s="46">
        <f t="shared" si="3"/>
        <v>9.9697570389800011E-2</v>
      </c>
    </row>
    <row r="10" spans="1:12" ht="18.5" x14ac:dyDescent="0.35">
      <c r="A10" s="87"/>
      <c r="B10" s="7" t="s">
        <v>55</v>
      </c>
      <c r="C10" s="8"/>
      <c r="D10" s="141" t="str">
        <f>IF(C11="Other","Input Custom Utility Electric Rate Below ($/kWh)","")</f>
        <v/>
      </c>
      <c r="F10" s="40">
        <f t="shared" si="0"/>
        <v>7</v>
      </c>
      <c r="G10" s="41">
        <f t="shared" si="1"/>
        <v>498.23047501274687</v>
      </c>
      <c r="H10" s="66"/>
      <c r="I10" s="45">
        <f t="shared" si="2"/>
        <v>404.32187889844403</v>
      </c>
      <c r="J10" s="46">
        <f t="shared" si="3"/>
        <v>0.10268849750149402</v>
      </c>
    </row>
    <row r="11" spans="1:12" ht="18.5" x14ac:dyDescent="0.35">
      <c r="A11" s="87">
        <v>5</v>
      </c>
      <c r="B11" s="9" t="s">
        <v>14</v>
      </c>
      <c r="C11" s="89" t="s">
        <v>73</v>
      </c>
      <c r="D11" s="141"/>
      <c r="F11" s="35">
        <f t="shared" si="0"/>
        <v>8</v>
      </c>
      <c r="G11" s="41">
        <f t="shared" si="1"/>
        <v>510.61150231681358</v>
      </c>
      <c r="H11" s="66"/>
      <c r="I11" s="45">
        <f t="shared" si="2"/>
        <v>402.30026950395182</v>
      </c>
      <c r="J11" s="46">
        <f t="shared" si="3"/>
        <v>0.10576915242653884</v>
      </c>
    </row>
    <row r="12" spans="1:12" ht="18.5" x14ac:dyDescent="0.35">
      <c r="A12" s="87">
        <v>6</v>
      </c>
      <c r="B12" s="9" t="s">
        <v>33</v>
      </c>
      <c r="C12" s="58">
        <f>IFERROR(IF(C11="Other",(D12-D12*0.3),VLOOKUP(C11,Inputs!A7:D20,4,FALSE)),0)</f>
        <v>8.5999999999999993E-2</v>
      </c>
      <c r="D12" s="104"/>
      <c r="F12" s="35">
        <f t="shared" si="0"/>
        <v>9</v>
      </c>
      <c r="G12" s="41">
        <f t="shared" si="1"/>
        <v>523.30019814938646</v>
      </c>
      <c r="H12" s="66"/>
      <c r="I12" s="45">
        <f t="shared" si="2"/>
        <v>400.28876815643207</v>
      </c>
      <c r="J12" s="46">
        <f t="shared" si="3"/>
        <v>0.10894222699933501</v>
      </c>
    </row>
    <row r="13" spans="1:12" ht="18.5" x14ac:dyDescent="0.35">
      <c r="A13" s="87">
        <v>7</v>
      </c>
      <c r="B13" s="9" t="s">
        <v>17</v>
      </c>
      <c r="C13" s="90">
        <v>5000</v>
      </c>
      <c r="F13" s="35">
        <f t="shared" si="0"/>
        <v>10</v>
      </c>
      <c r="G13" s="41">
        <f t="shared" si="1"/>
        <v>536.30420807339874</v>
      </c>
      <c r="H13" s="66"/>
      <c r="I13" s="45">
        <f t="shared" si="2"/>
        <v>398.28732431564993</v>
      </c>
      <c r="J13" s="46">
        <f t="shared" si="3"/>
        <v>0.11221049380931505</v>
      </c>
    </row>
    <row r="14" spans="1:12" ht="18.5" x14ac:dyDescent="0.35">
      <c r="A14" s="87">
        <v>8</v>
      </c>
      <c r="B14" s="60" t="s">
        <v>57</v>
      </c>
      <c r="C14" s="92">
        <v>15000</v>
      </c>
      <c r="F14" s="35">
        <f t="shared" si="0"/>
        <v>11</v>
      </c>
      <c r="G14" s="41">
        <f t="shared" si="1"/>
        <v>549.6313676440227</v>
      </c>
      <c r="H14" s="66"/>
      <c r="I14" s="45">
        <f t="shared" si="2"/>
        <v>396.29588769407167</v>
      </c>
      <c r="J14" s="46">
        <f t="shared" si="3"/>
        <v>0.11557680862359451</v>
      </c>
    </row>
    <row r="15" spans="1:12" ht="18.5" x14ac:dyDescent="0.35">
      <c r="A15" s="87">
        <v>9</v>
      </c>
      <c r="B15" s="59" t="s">
        <v>47</v>
      </c>
      <c r="C15" s="92">
        <v>1750</v>
      </c>
      <c r="F15" s="35">
        <f t="shared" si="0"/>
        <v>12</v>
      </c>
      <c r="G15" s="41">
        <f t="shared" si="1"/>
        <v>563.2897071299767</v>
      </c>
      <c r="H15" s="66"/>
      <c r="I15" s="45">
        <f t="shared" si="2"/>
        <v>394.31440825560128</v>
      </c>
      <c r="J15" s="46">
        <f t="shared" si="3"/>
        <v>0.11904411288230235</v>
      </c>
    </row>
    <row r="16" spans="1:12" ht="60.65" customHeight="1" x14ac:dyDescent="0.35">
      <c r="A16" s="87">
        <v>10</v>
      </c>
      <c r="B16" s="59" t="s">
        <v>58</v>
      </c>
      <c r="C16" s="92">
        <v>0</v>
      </c>
      <c r="F16" s="35">
        <f t="shared" si="0"/>
        <v>13</v>
      </c>
      <c r="G16" s="41">
        <f t="shared" si="1"/>
        <v>577.2874563521566</v>
      </c>
      <c r="H16" s="66"/>
      <c r="I16" s="45">
        <f t="shared" si="2"/>
        <v>392.34283621432326</v>
      </c>
      <c r="J16" s="46">
        <f t="shared" si="3"/>
        <v>0.12261543626877143</v>
      </c>
    </row>
    <row r="17" spans="1:10" ht="25.25" customHeight="1" thickBot="1" x14ac:dyDescent="0.4">
      <c r="A17"/>
      <c r="F17" s="35">
        <f t="shared" si="0"/>
        <v>14</v>
      </c>
      <c r="G17" s="41">
        <f t="shared" si="1"/>
        <v>591.63304964250767</v>
      </c>
      <c r="H17" s="66"/>
      <c r="I17" s="45">
        <f t="shared" si="2"/>
        <v>390.38112203325164</v>
      </c>
      <c r="J17" s="46">
        <f t="shared" si="3"/>
        <v>0.12629389935683458</v>
      </c>
    </row>
    <row r="18" spans="1:10" ht="29" x14ac:dyDescent="0.35">
      <c r="A18" s="87">
        <v>11</v>
      </c>
      <c r="B18" s="62" t="s">
        <v>59</v>
      </c>
      <c r="C18" s="72">
        <f>C14-C15-C16</f>
        <v>13250</v>
      </c>
      <c r="F18" s="35">
        <f t="shared" si="0"/>
        <v>15</v>
      </c>
      <c r="G18" s="41">
        <f t="shared" si="1"/>
        <v>606.33513092612407</v>
      </c>
      <c r="H18" s="66"/>
      <c r="I18" s="45">
        <f t="shared" si="2"/>
        <v>388.42921642308539</v>
      </c>
      <c r="J18" s="46">
        <f t="shared" si="3"/>
        <v>0.13008271633753962</v>
      </c>
    </row>
    <row r="19" spans="1:10" ht="48.65" customHeight="1" thickBot="1" x14ac:dyDescent="0.4">
      <c r="A19" s="87">
        <v>12</v>
      </c>
      <c r="B19" s="63" t="s">
        <v>60</v>
      </c>
      <c r="C19" s="73">
        <f>F32</f>
        <v>7993.0441635154266</v>
      </c>
      <c r="F19" s="40">
        <f t="shared" si="0"/>
        <v>16</v>
      </c>
      <c r="G19" s="41">
        <f t="shared" si="1"/>
        <v>621.4025589296383</v>
      </c>
      <c r="H19" s="66"/>
      <c r="I19" s="45">
        <f t="shared" si="2"/>
        <v>386.48707034096998</v>
      </c>
      <c r="J19" s="46">
        <f t="shared" si="3"/>
        <v>0.13398519782766583</v>
      </c>
    </row>
    <row r="20" spans="1:10" ht="19" thickBot="1" x14ac:dyDescent="0.4">
      <c r="A20" s="140"/>
      <c r="C20" s="79"/>
      <c r="F20" s="35">
        <f t="shared" si="0"/>
        <v>17</v>
      </c>
      <c r="G20" s="41">
        <f t="shared" si="1"/>
        <v>636.84441251903979</v>
      </c>
      <c r="H20" s="66"/>
      <c r="I20" s="45">
        <f t="shared" si="2"/>
        <v>384.55463498926514</v>
      </c>
      <c r="J20" s="46">
        <f t="shared" si="3"/>
        <v>0.1380047537624958</v>
      </c>
    </row>
    <row r="21" spans="1:10" ht="18.649999999999999" customHeight="1" x14ac:dyDescent="0.35">
      <c r="A21" s="144">
        <v>13</v>
      </c>
      <c r="B21" s="145" t="str">
        <f>IF(C18&lt;=C19,Inputs!A24,Inputs!A25)</f>
        <v>The system design does not meet MEA program requirements.</v>
      </c>
      <c r="C21" s="146"/>
      <c r="F21" s="35">
        <f t="shared" si="0"/>
        <v>18</v>
      </c>
      <c r="G21" s="41">
        <f t="shared" si="1"/>
        <v>652.66999617013801</v>
      </c>
      <c r="H21" s="66"/>
      <c r="I21" s="45">
        <f t="shared" si="2"/>
        <v>382.63186181431882</v>
      </c>
      <c r="J21" s="46">
        <f t="shared" si="3"/>
        <v>0.14214489637537067</v>
      </c>
    </row>
    <row r="22" spans="1:10" ht="19" customHeight="1" thickBot="1" x14ac:dyDescent="0.4">
      <c r="A22" s="144"/>
      <c r="B22" s="147"/>
      <c r="C22" s="148"/>
      <c r="F22" s="35">
        <f t="shared" si="0"/>
        <v>19</v>
      </c>
      <c r="G22" s="41">
        <f t="shared" si="1"/>
        <v>668.8888455749659</v>
      </c>
      <c r="H22" s="67"/>
      <c r="I22" s="45">
        <f t="shared" si="2"/>
        <v>380.71870250524722</v>
      </c>
      <c r="J22" s="46">
        <f t="shared" si="3"/>
        <v>0.14640924326663179</v>
      </c>
    </row>
    <row r="23" spans="1:10" s="5" customFormat="1" x14ac:dyDescent="0.35">
      <c r="A23" s="156"/>
      <c r="B23"/>
      <c r="C23"/>
      <c r="D23"/>
      <c r="E23"/>
      <c r="F23" s="35">
        <f t="shared" si="0"/>
        <v>20</v>
      </c>
      <c r="G23" s="41">
        <f t="shared" si="1"/>
        <v>685.51073338750382</v>
      </c>
      <c r="H23" s="66"/>
      <c r="I23" s="45">
        <f t="shared" si="2"/>
        <v>378.81510899272098</v>
      </c>
      <c r="J23" s="46">
        <f t="shared" si="3"/>
        <v>0.15080152056463075</v>
      </c>
    </row>
    <row r="24" spans="1:10" x14ac:dyDescent="0.35">
      <c r="A24" s="156"/>
      <c r="F24" s="35">
        <f t="shared" si="0"/>
        <v>21</v>
      </c>
      <c r="G24" s="41">
        <f t="shared" si="1"/>
        <v>702.54567511218329</v>
      </c>
      <c r="H24" s="66"/>
      <c r="I24" s="45">
        <f t="shared" si="2"/>
        <v>376.9210334477574</v>
      </c>
      <c r="J24" s="46">
        <f t="shared" si="3"/>
        <v>0.15532556618156967</v>
      </c>
    </row>
    <row r="25" spans="1:10" x14ac:dyDescent="0.35">
      <c r="A25"/>
      <c r="F25" s="35">
        <f t="shared" si="0"/>
        <v>22</v>
      </c>
      <c r="G25" s="41">
        <f t="shared" si="1"/>
        <v>720.0039351387212</v>
      </c>
      <c r="H25" s="66"/>
      <c r="I25" s="45">
        <f t="shared" si="2"/>
        <v>375.03642828051863</v>
      </c>
      <c r="J25" s="46">
        <f t="shared" si="3"/>
        <v>0.15998533316701677</v>
      </c>
    </row>
    <row r="26" spans="1:10" x14ac:dyDescent="0.35">
      <c r="A26"/>
      <c r="F26" s="35">
        <f t="shared" si="0"/>
        <v>23</v>
      </c>
      <c r="G26" s="41">
        <f t="shared" si="1"/>
        <v>737.89603292691834</v>
      </c>
      <c r="H26" s="66"/>
      <c r="I26" s="45">
        <f t="shared" si="2"/>
        <v>373.16124613911603</v>
      </c>
      <c r="J26" s="46">
        <f t="shared" si="3"/>
        <v>0.16478489316202727</v>
      </c>
    </row>
    <row r="27" spans="1:10" x14ac:dyDescent="0.35">
      <c r="A27"/>
      <c r="F27" s="35">
        <f t="shared" si="0"/>
        <v>24</v>
      </c>
      <c r="G27" s="41">
        <f t="shared" si="1"/>
        <v>756.23274934515223</v>
      </c>
      <c r="H27" s="66"/>
      <c r="I27" s="45">
        <f t="shared" si="2"/>
        <v>371.29543990842046</v>
      </c>
      <c r="J27" s="46">
        <f t="shared" si="3"/>
        <v>0.16972843995688808</v>
      </c>
    </row>
    <row r="28" spans="1:10" ht="15" thickBot="1" x14ac:dyDescent="0.4">
      <c r="A28"/>
      <c r="F28" s="47">
        <f t="shared" si="0"/>
        <v>25</v>
      </c>
      <c r="G28" s="48">
        <f t="shared" si="1"/>
        <v>775.02513316637931</v>
      </c>
      <c r="H28" s="68"/>
      <c r="I28" s="50">
        <f t="shared" si="2"/>
        <v>369.43896270887836</v>
      </c>
      <c r="J28" s="51">
        <f t="shared" si="3"/>
        <v>0.17482029315559472</v>
      </c>
    </row>
    <row r="29" spans="1:10" s="5" customFormat="1" ht="15" thickBot="1" x14ac:dyDescent="0.4">
      <c r="A29"/>
      <c r="B29"/>
      <c r="C29"/>
      <c r="D29"/>
      <c r="E29"/>
      <c r="F29"/>
      <c r="G29"/>
      <c r="H29"/>
      <c r="I29"/>
      <c r="J29"/>
    </row>
    <row r="30" spans="1:10" ht="28.4" customHeight="1" x14ac:dyDescent="0.35">
      <c r="A30"/>
      <c r="F30" s="149" t="s">
        <v>26</v>
      </c>
      <c r="G30" s="150"/>
    </row>
    <row r="31" spans="1:10" x14ac:dyDescent="0.35">
      <c r="A31"/>
      <c r="F31" s="151" t="s">
        <v>61</v>
      </c>
      <c r="G31" s="152"/>
      <c r="H31" s="5"/>
      <c r="I31" s="5"/>
      <c r="J31" s="5"/>
    </row>
    <row r="32" spans="1:10" s="5" customFormat="1" ht="15" thickBot="1" x14ac:dyDescent="0.4">
      <c r="A32"/>
      <c r="B32"/>
      <c r="C32"/>
      <c r="D32"/>
      <c r="E32"/>
      <c r="F32" s="142">
        <f>NPV(C5,G3:G28)</f>
        <v>7993.0441635154266</v>
      </c>
      <c r="G32" s="143"/>
      <c r="H32"/>
      <c r="I32"/>
      <c r="J32"/>
    </row>
    <row r="33" spans="1:7" x14ac:dyDescent="0.35">
      <c r="G33" s="16"/>
    </row>
    <row r="36" spans="1:7" x14ac:dyDescent="0.35">
      <c r="G36" s="19"/>
    </row>
    <row r="39" spans="1:7" x14ac:dyDescent="0.35">
      <c r="C39" s="4"/>
    </row>
    <row r="40" spans="1:7" x14ac:dyDescent="0.35">
      <c r="C40" s="4"/>
    </row>
    <row r="41" spans="1:7" x14ac:dyDescent="0.35">
      <c r="B41" s="1"/>
    </row>
    <row r="42" spans="1:7" x14ac:dyDescent="0.35">
      <c r="A42" s="29"/>
    </row>
    <row r="43" spans="1:7" x14ac:dyDescent="0.35">
      <c r="D43" s="20"/>
      <c r="E43" s="20"/>
    </row>
    <row r="44" spans="1:7" x14ac:dyDescent="0.35">
      <c r="B44" s="4"/>
      <c r="C44" s="4"/>
      <c r="F44" s="19"/>
    </row>
    <row r="45" spans="1:7" x14ac:dyDescent="0.35">
      <c r="B45" s="21"/>
      <c r="C45" s="4"/>
    </row>
    <row r="46" spans="1:7" x14ac:dyDescent="0.35">
      <c r="F46" s="19"/>
    </row>
    <row r="48" spans="1:7" x14ac:dyDescent="0.35">
      <c r="C48" s="17"/>
    </row>
    <row r="50" spans="3:6" x14ac:dyDescent="0.35">
      <c r="C50" s="4"/>
    </row>
    <row r="51" spans="3:6" x14ac:dyDescent="0.35">
      <c r="F51" s="19"/>
    </row>
  </sheetData>
  <sheetProtection selectLockedCells="1"/>
  <protectedRanges>
    <protectedRange sqref="C13" name="Inputs"/>
    <protectedRange sqref="C12" name="Inputs_1"/>
  </protectedRanges>
  <mergeCells count="7">
    <mergeCell ref="D10:D11"/>
    <mergeCell ref="F31:G31"/>
    <mergeCell ref="F32:G32"/>
    <mergeCell ref="A23:A24"/>
    <mergeCell ref="B21:C22"/>
    <mergeCell ref="F30:G30"/>
    <mergeCell ref="A21:A22"/>
  </mergeCells>
  <conditionalFormatting sqref="D12">
    <cfRule type="expression" dxfId="1" priority="2">
      <formula>$C$11&lt;&gt;"Other"</formula>
    </cfRule>
    <cfRule type="expression" dxfId="0" priority="4">
      <formula>$C$11="Other"</formula>
    </cfRule>
  </conditionalFormatting>
  <pageMargins left="0.25" right="0.25" top="0.75" bottom="0.75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8E2A73-E17B-4967-B2CD-A4C2E14431B0}">
          <x14:formula1>
            <xm:f>Inputs!$A$7:$A$20</xm:f>
          </x14:formula1>
          <xm:sqref>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CBE0-18B3-454D-9C53-EB7C6D6137AE}">
  <sheetPr codeName="Sheet7"/>
  <dimension ref="A2:D19"/>
  <sheetViews>
    <sheetView showGridLines="0" zoomScale="175" zoomScaleNormal="175" workbookViewId="0">
      <selection activeCell="A30" sqref="A30"/>
    </sheetView>
  </sheetViews>
  <sheetFormatPr defaultRowHeight="14.5" x14ac:dyDescent="0.35"/>
  <cols>
    <col min="1" max="1" width="39.90625" bestFit="1" customWidth="1"/>
    <col min="2" max="2" width="28.453125" bestFit="1" customWidth="1"/>
    <col min="3" max="9" width="28.453125" customWidth="1"/>
    <col min="10" max="10" width="45.54296875" customWidth="1"/>
  </cols>
  <sheetData>
    <row r="2" spans="1:4" x14ac:dyDescent="0.35">
      <c r="A2" s="25" t="s">
        <v>126</v>
      </c>
      <c r="B2" s="157" t="s">
        <v>133</v>
      </c>
      <c r="C2" s="157"/>
      <c r="D2" s="157"/>
    </row>
    <row r="3" spans="1:4" x14ac:dyDescent="0.35">
      <c r="A3" s="25"/>
      <c r="B3" s="157"/>
      <c r="C3" s="157"/>
      <c r="D3" s="157"/>
    </row>
    <row r="5" spans="1:4" ht="43.5" x14ac:dyDescent="0.35">
      <c r="A5" s="55"/>
      <c r="B5" s="55" t="s">
        <v>62</v>
      </c>
      <c r="C5" s="80" t="s">
        <v>63</v>
      </c>
      <c r="D5" s="80" t="s">
        <v>64</v>
      </c>
    </row>
    <row r="6" spans="1:4" x14ac:dyDescent="0.35">
      <c r="A6" s="131" t="s">
        <v>15</v>
      </c>
      <c r="B6" s="81">
        <v>0.23100000000000001</v>
      </c>
      <c r="C6" s="81">
        <f>ROUND(B6-B6*0.2,3)</f>
        <v>0.185</v>
      </c>
      <c r="D6" s="81">
        <f>ROUND(B6-B6*0.3,3)</f>
        <v>0.16200000000000001</v>
      </c>
    </row>
    <row r="7" spans="1:4" x14ac:dyDescent="0.35">
      <c r="A7" s="131" t="s">
        <v>0</v>
      </c>
      <c r="B7" s="81">
        <v>0.21299999999999999</v>
      </c>
      <c r="C7" s="81">
        <f t="shared" ref="C7:C18" si="0">ROUND(B7-B7*0.2,3)</f>
        <v>0.17</v>
      </c>
      <c r="D7" s="81">
        <f t="shared" ref="D7:D18" si="1">ROUND(B7-B7*0.3,3)</f>
        <v>0.14899999999999999</v>
      </c>
    </row>
    <row r="8" spans="1:4" x14ac:dyDescent="0.35">
      <c r="A8" s="131" t="s">
        <v>87</v>
      </c>
      <c r="B8" s="81">
        <v>0.22600000000000001</v>
      </c>
      <c r="C8" s="81">
        <f t="shared" si="0"/>
        <v>0.18099999999999999</v>
      </c>
      <c r="D8" s="81">
        <f t="shared" si="1"/>
        <v>0.158</v>
      </c>
    </row>
    <row r="9" spans="1:4" x14ac:dyDescent="0.35">
      <c r="A9" s="131" t="s">
        <v>65</v>
      </c>
      <c r="B9" s="81">
        <v>0.16</v>
      </c>
      <c r="C9" s="81">
        <f t="shared" si="0"/>
        <v>0.128</v>
      </c>
      <c r="D9" s="81">
        <f t="shared" si="1"/>
        <v>0.112</v>
      </c>
    </row>
    <row r="10" spans="1:4" x14ac:dyDescent="0.35">
      <c r="A10" s="131" t="s">
        <v>66</v>
      </c>
      <c r="B10" s="81">
        <v>0.186</v>
      </c>
      <c r="C10" s="81">
        <f t="shared" si="0"/>
        <v>0.14899999999999999</v>
      </c>
      <c r="D10" s="81">
        <f t="shared" si="1"/>
        <v>0.13</v>
      </c>
    </row>
    <row r="11" spans="1:4" x14ac:dyDescent="0.35">
      <c r="A11" s="131" t="s">
        <v>68</v>
      </c>
      <c r="B11" s="138">
        <v>0.13300000000000001</v>
      </c>
      <c r="C11" s="81">
        <f t="shared" si="0"/>
        <v>0.106</v>
      </c>
      <c r="D11" s="81">
        <f t="shared" si="1"/>
        <v>9.2999999999999999E-2</v>
      </c>
    </row>
    <row r="12" spans="1:4" x14ac:dyDescent="0.35">
      <c r="A12" s="131" t="s">
        <v>69</v>
      </c>
      <c r="B12" s="81">
        <v>0.14399999999999999</v>
      </c>
      <c r="C12" s="81">
        <f t="shared" si="0"/>
        <v>0.115</v>
      </c>
      <c r="D12" s="81">
        <f t="shared" si="1"/>
        <v>0.10100000000000001</v>
      </c>
    </row>
    <row r="13" spans="1:4" x14ac:dyDescent="0.35">
      <c r="A13" s="131" t="s">
        <v>56</v>
      </c>
      <c r="B13" s="81">
        <v>0.13700000000000001</v>
      </c>
      <c r="C13" s="81">
        <f t="shared" si="0"/>
        <v>0.11</v>
      </c>
      <c r="D13" s="81">
        <f t="shared" si="1"/>
        <v>9.6000000000000002E-2</v>
      </c>
    </row>
    <row r="14" spans="1:4" x14ac:dyDescent="0.35">
      <c r="A14" s="131" t="s">
        <v>71</v>
      </c>
      <c r="B14" s="81">
        <v>0.124</v>
      </c>
      <c r="C14" s="81">
        <f t="shared" si="0"/>
        <v>9.9000000000000005E-2</v>
      </c>
      <c r="D14" s="81">
        <f t="shared" si="1"/>
        <v>8.6999999999999994E-2</v>
      </c>
    </row>
    <row r="15" spans="1:4" x14ac:dyDescent="0.35">
      <c r="A15" s="131" t="s">
        <v>73</v>
      </c>
      <c r="B15" s="81">
        <v>0.123</v>
      </c>
      <c r="C15" s="81">
        <f t="shared" si="0"/>
        <v>9.8000000000000004E-2</v>
      </c>
      <c r="D15" s="81">
        <f t="shared" si="1"/>
        <v>8.5999999999999993E-2</v>
      </c>
    </row>
    <row r="16" spans="1:4" x14ac:dyDescent="0.35">
      <c r="A16" s="131" t="s">
        <v>75</v>
      </c>
      <c r="B16" s="81">
        <v>0.112</v>
      </c>
      <c r="C16" s="81">
        <f t="shared" si="0"/>
        <v>0.09</v>
      </c>
      <c r="D16" s="81">
        <f t="shared" si="1"/>
        <v>7.8E-2</v>
      </c>
    </row>
    <row r="17" spans="1:4" x14ac:dyDescent="0.35">
      <c r="A17" s="131" t="s">
        <v>127</v>
      </c>
      <c r="B17" s="81">
        <v>0.16600000000000001</v>
      </c>
      <c r="C17" s="81">
        <f t="shared" si="0"/>
        <v>0.13300000000000001</v>
      </c>
      <c r="D17" s="81">
        <f t="shared" si="1"/>
        <v>0.11600000000000001</v>
      </c>
    </row>
    <row r="18" spans="1:4" x14ac:dyDescent="0.35">
      <c r="A18" s="131" t="s">
        <v>79</v>
      </c>
      <c r="B18" s="81">
        <v>0.19900000000000001</v>
      </c>
      <c r="C18" s="81">
        <f t="shared" si="0"/>
        <v>0.159</v>
      </c>
      <c r="D18" s="81">
        <f t="shared" si="1"/>
        <v>0.13900000000000001</v>
      </c>
    </row>
    <row r="19" spans="1:4" x14ac:dyDescent="0.35">
      <c r="C19" s="82"/>
      <c r="D19" s="82"/>
    </row>
  </sheetData>
  <mergeCells count="2">
    <mergeCell ref="B2:D2"/>
    <mergeCell ref="B3:D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C498-FDC7-4557-B26A-DD9F1F76857A}">
  <sheetPr codeName="Sheet6">
    <tabColor rgb="FFFFFF00"/>
  </sheetPr>
  <dimension ref="A1:C7"/>
  <sheetViews>
    <sheetView showGridLines="0" zoomScaleNormal="100" workbookViewId="0">
      <selection activeCell="F20" sqref="F20"/>
    </sheetView>
  </sheetViews>
  <sheetFormatPr defaultRowHeight="14.5" x14ac:dyDescent="0.35"/>
  <cols>
    <col min="1" max="1" width="16.54296875" customWidth="1"/>
    <col min="2" max="2" width="18.54296875" customWidth="1"/>
    <col min="3" max="3" width="42.453125" customWidth="1"/>
  </cols>
  <sheetData>
    <row r="1" spans="1:3" x14ac:dyDescent="0.35">
      <c r="A1" t="s">
        <v>92</v>
      </c>
      <c r="B1" t="s">
        <v>93</v>
      </c>
      <c r="C1" t="s">
        <v>94</v>
      </c>
    </row>
    <row r="2" spans="1:3" ht="29" x14ac:dyDescent="0.35">
      <c r="A2">
        <v>1</v>
      </c>
      <c r="B2" s="107">
        <v>45778</v>
      </c>
      <c r="C2" s="53" t="s">
        <v>95</v>
      </c>
    </row>
    <row r="3" spans="1:3" ht="29" x14ac:dyDescent="0.35">
      <c r="A3">
        <v>2</v>
      </c>
      <c r="B3" s="107">
        <v>45991</v>
      </c>
      <c r="C3" s="53" t="s">
        <v>96</v>
      </c>
    </row>
    <row r="4" spans="1:3" ht="29" x14ac:dyDescent="0.35">
      <c r="A4">
        <v>3</v>
      </c>
      <c r="B4" s="107">
        <v>45971</v>
      </c>
      <c r="C4" s="53" t="s">
        <v>97</v>
      </c>
    </row>
    <row r="5" spans="1:3" ht="58" x14ac:dyDescent="0.35">
      <c r="A5">
        <v>4</v>
      </c>
      <c r="B5" s="107">
        <v>46007</v>
      </c>
      <c r="C5" s="53" t="s">
        <v>128</v>
      </c>
    </row>
    <row r="6" spans="1:3" ht="72.5" x14ac:dyDescent="0.35">
      <c r="A6">
        <v>4.0999999999999996</v>
      </c>
      <c r="B6" s="107">
        <v>46021</v>
      </c>
      <c r="C6" s="53" t="s">
        <v>129</v>
      </c>
    </row>
    <row r="7" spans="1:3" ht="87" x14ac:dyDescent="0.35">
      <c r="A7">
        <v>5</v>
      </c>
      <c r="B7" s="107">
        <v>46050</v>
      </c>
      <c r="C7" s="53" t="s">
        <v>134</v>
      </c>
    </row>
  </sheetData>
  <sheetProtection selectLockedCell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74C2-DAA4-4C78-B0A7-05C6138DD539}">
  <sheetPr codeName="Sheet8">
    <tabColor rgb="FFFFFF00"/>
  </sheetPr>
  <dimension ref="A1:K30"/>
  <sheetViews>
    <sheetView showGridLines="0" zoomScaleNormal="100" workbookViewId="0">
      <selection activeCell="B37" sqref="B37"/>
    </sheetView>
  </sheetViews>
  <sheetFormatPr defaultRowHeight="14.5" x14ac:dyDescent="0.35"/>
  <cols>
    <col min="1" max="1" width="56" style="53" bestFit="1" customWidth="1"/>
    <col min="2" max="2" width="14.08984375" style="53" bestFit="1" customWidth="1"/>
    <col min="3" max="3" width="19.453125" style="53" bestFit="1" customWidth="1"/>
    <col min="4" max="4" width="20.453125" style="53" bestFit="1" customWidth="1"/>
    <col min="5" max="5" width="2.36328125" style="53" customWidth="1"/>
    <col min="6" max="6" width="59.6328125" style="53" bestFit="1" customWidth="1"/>
    <col min="7" max="7" width="72.36328125" style="53" bestFit="1" customWidth="1"/>
    <col min="8" max="8" width="9.54296875" style="53" bestFit="1" customWidth="1"/>
    <col min="9" max="9" width="10.54296875" style="53" bestFit="1" customWidth="1"/>
    <col min="10" max="10" width="36.453125" style="53" customWidth="1"/>
    <col min="11" max="11" width="56.81640625" style="53" bestFit="1" customWidth="1"/>
  </cols>
  <sheetData>
    <row r="1" spans="1:11" ht="15" thickBot="1" x14ac:dyDescent="0.4"/>
    <row r="2" spans="1:11" x14ac:dyDescent="0.35">
      <c r="A2" s="110" t="s">
        <v>81</v>
      </c>
    </row>
    <row r="3" spans="1:11" x14ac:dyDescent="0.35">
      <c r="A3" s="111" t="s">
        <v>19</v>
      </c>
    </row>
    <row r="4" spans="1:11" ht="15" thickBot="1" x14ac:dyDescent="0.4">
      <c r="A4" s="112" t="s">
        <v>82</v>
      </c>
    </row>
    <row r="5" spans="1:11" ht="15" thickBot="1" x14ac:dyDescent="0.4"/>
    <row r="6" spans="1:11" ht="58" x14ac:dyDescent="0.35">
      <c r="A6" s="62" t="s">
        <v>83</v>
      </c>
      <c r="B6" s="70" t="s">
        <v>84</v>
      </c>
      <c r="C6" s="70" t="s">
        <v>85</v>
      </c>
      <c r="D6" s="71" t="s">
        <v>86</v>
      </c>
      <c r="E6" s="132"/>
      <c r="F6" s="117" t="s">
        <v>98</v>
      </c>
      <c r="G6" s="117" t="s">
        <v>99</v>
      </c>
      <c r="H6" s="118" t="s">
        <v>100</v>
      </c>
      <c r="I6" s="118" t="s">
        <v>101</v>
      </c>
      <c r="J6" s="117" t="s">
        <v>102</v>
      </c>
      <c r="K6" s="119" t="s">
        <v>103</v>
      </c>
    </row>
    <row r="7" spans="1:11" ht="29" x14ac:dyDescent="0.35">
      <c r="A7" s="59" t="s">
        <v>15</v>
      </c>
      <c r="B7" s="113">
        <f>'Reference Values'!B6</f>
        <v>0.23100000000000001</v>
      </c>
      <c r="C7" s="113">
        <f>'Reference Values'!C6</f>
        <v>0.185</v>
      </c>
      <c r="D7" s="113">
        <f>'Reference Values'!D6</f>
        <v>0.16200000000000001</v>
      </c>
      <c r="E7" s="133"/>
      <c r="F7" s="108" t="s">
        <v>104</v>
      </c>
      <c r="G7" s="108" t="s">
        <v>105</v>
      </c>
      <c r="H7" s="114">
        <v>46050</v>
      </c>
      <c r="I7" s="114">
        <v>45931</v>
      </c>
      <c r="J7" s="80" t="s">
        <v>106</v>
      </c>
      <c r="K7" s="120"/>
    </row>
    <row r="8" spans="1:11" ht="29" x14ac:dyDescent="0.35">
      <c r="A8" s="59" t="s">
        <v>0</v>
      </c>
      <c r="B8" s="113">
        <f>'Reference Values'!B7</f>
        <v>0.21299999999999999</v>
      </c>
      <c r="C8" s="113">
        <f>'Reference Values'!C7</f>
        <v>0.17</v>
      </c>
      <c r="D8" s="113">
        <f>'Reference Values'!D7</f>
        <v>0.14899999999999999</v>
      </c>
      <c r="E8" s="133"/>
      <c r="F8" s="108" t="s">
        <v>107</v>
      </c>
      <c r="G8" s="80"/>
      <c r="H8" s="114">
        <v>46050</v>
      </c>
      <c r="I8" s="114">
        <v>45992</v>
      </c>
      <c r="J8" s="80" t="s">
        <v>108</v>
      </c>
      <c r="K8" s="120"/>
    </row>
    <row r="9" spans="1:11" ht="29" x14ac:dyDescent="0.35">
      <c r="A9" s="59" t="s">
        <v>87</v>
      </c>
      <c r="B9" s="113">
        <f>'Reference Values'!B8</f>
        <v>0.22600000000000001</v>
      </c>
      <c r="C9" s="113">
        <f>'Reference Values'!C8</f>
        <v>0.18099999999999999</v>
      </c>
      <c r="D9" s="113">
        <f>'Reference Values'!D8</f>
        <v>0.158</v>
      </c>
      <c r="E9" s="133"/>
      <c r="F9" s="108" t="s">
        <v>109</v>
      </c>
      <c r="G9" s="80"/>
      <c r="H9" s="114">
        <v>46050</v>
      </c>
      <c r="I9" s="114">
        <v>45931</v>
      </c>
      <c r="J9" s="80" t="s">
        <v>106</v>
      </c>
      <c r="K9" s="120"/>
    </row>
    <row r="10" spans="1:11" ht="29.5" thickBot="1" x14ac:dyDescent="0.4">
      <c r="A10" s="61" t="s">
        <v>65</v>
      </c>
      <c r="B10" s="121">
        <f>'Reference Values'!B9</f>
        <v>0.16</v>
      </c>
      <c r="C10" s="121">
        <f>'Reference Values'!C9</f>
        <v>0.128</v>
      </c>
      <c r="D10" s="121">
        <f>'Reference Values'!D9</f>
        <v>0.112</v>
      </c>
      <c r="E10" s="134"/>
      <c r="F10" s="122" t="s">
        <v>110</v>
      </c>
      <c r="G10" s="123"/>
      <c r="H10" s="114">
        <v>46050</v>
      </c>
      <c r="I10" s="124">
        <v>46023</v>
      </c>
      <c r="J10" s="123" t="s">
        <v>106</v>
      </c>
      <c r="K10" s="125"/>
    </row>
    <row r="11" spans="1:11" ht="29" x14ac:dyDescent="0.35">
      <c r="A11" s="126" t="s">
        <v>66</v>
      </c>
      <c r="B11" s="127">
        <f>'Reference Values'!B10</f>
        <v>0.186</v>
      </c>
      <c r="C11" s="127">
        <f>'Reference Values'!C10</f>
        <v>0.14899999999999999</v>
      </c>
      <c r="D11" s="127">
        <f>'Reference Values'!D10</f>
        <v>0.13</v>
      </c>
      <c r="E11" s="135"/>
      <c r="F11" s="128" t="s">
        <v>111</v>
      </c>
      <c r="G11" s="128" t="s">
        <v>67</v>
      </c>
      <c r="H11" s="114">
        <v>46050</v>
      </c>
      <c r="I11" s="129">
        <v>46023</v>
      </c>
      <c r="J11" s="117" t="s">
        <v>112</v>
      </c>
      <c r="K11" s="119"/>
    </row>
    <row r="12" spans="1:11" ht="43.5" x14ac:dyDescent="0.35">
      <c r="A12" s="130" t="s">
        <v>68</v>
      </c>
      <c r="B12" s="113">
        <f>'Reference Values'!B11</f>
        <v>0.13300000000000001</v>
      </c>
      <c r="C12" s="113">
        <f>'Reference Values'!C11</f>
        <v>0.106</v>
      </c>
      <c r="D12" s="113">
        <f>'Reference Values'!D11</f>
        <v>9.2999999999999999E-2</v>
      </c>
      <c r="E12" s="133"/>
      <c r="F12" s="108" t="s">
        <v>113</v>
      </c>
      <c r="G12" s="108" t="s">
        <v>114</v>
      </c>
      <c r="H12" s="114">
        <v>46050</v>
      </c>
      <c r="I12" s="114">
        <v>41241</v>
      </c>
      <c r="J12" s="80" t="s">
        <v>115</v>
      </c>
      <c r="K12" s="120" t="s">
        <v>116</v>
      </c>
    </row>
    <row r="13" spans="1:11" ht="43.5" x14ac:dyDescent="0.35">
      <c r="A13" s="130" t="s">
        <v>69</v>
      </c>
      <c r="B13" s="113">
        <f>'Reference Values'!B12</f>
        <v>0.14399999999999999</v>
      </c>
      <c r="C13" s="113">
        <f>'Reference Values'!C12</f>
        <v>0.115</v>
      </c>
      <c r="D13" s="113">
        <f>'Reference Values'!D12</f>
        <v>0.10100000000000001</v>
      </c>
      <c r="E13" s="133"/>
      <c r="F13" s="108" t="s">
        <v>117</v>
      </c>
      <c r="G13" s="108"/>
      <c r="H13" s="114">
        <v>46050</v>
      </c>
      <c r="I13" s="114">
        <v>46023</v>
      </c>
      <c r="J13" s="80" t="s">
        <v>118</v>
      </c>
      <c r="K13" s="120" t="s">
        <v>130</v>
      </c>
    </row>
    <row r="14" spans="1:11" ht="29" x14ac:dyDescent="0.35">
      <c r="A14" s="130" t="s">
        <v>56</v>
      </c>
      <c r="B14" s="113">
        <f>'Reference Values'!B13</f>
        <v>0.13700000000000001</v>
      </c>
      <c r="C14" s="113">
        <f>'Reference Values'!C13</f>
        <v>0.11</v>
      </c>
      <c r="D14" s="113">
        <f>'Reference Values'!D13</f>
        <v>9.6000000000000002E-2</v>
      </c>
      <c r="E14" s="133"/>
      <c r="F14" s="108" t="s">
        <v>70</v>
      </c>
      <c r="G14" s="109" t="s">
        <v>119</v>
      </c>
      <c r="H14" s="114">
        <v>46050</v>
      </c>
      <c r="I14" s="114">
        <v>45689</v>
      </c>
      <c r="J14" s="80" t="s">
        <v>120</v>
      </c>
      <c r="K14" s="120"/>
    </row>
    <row r="15" spans="1:11" x14ac:dyDescent="0.35">
      <c r="A15" s="130" t="s">
        <v>71</v>
      </c>
      <c r="B15" s="113">
        <f>'Reference Values'!B14</f>
        <v>0.124</v>
      </c>
      <c r="C15" s="113">
        <f>'Reference Values'!C14</f>
        <v>9.9000000000000005E-2</v>
      </c>
      <c r="D15" s="113">
        <f>'Reference Values'!D14</f>
        <v>8.6999999999999994E-2</v>
      </c>
      <c r="E15" s="133"/>
      <c r="F15" s="108" t="s">
        <v>72</v>
      </c>
      <c r="G15" s="108" t="s">
        <v>121</v>
      </c>
      <c r="H15" s="114">
        <v>46050</v>
      </c>
      <c r="I15" s="114">
        <v>43922</v>
      </c>
      <c r="J15" s="80" t="s">
        <v>122</v>
      </c>
      <c r="K15" s="120"/>
    </row>
    <row r="16" spans="1:11" ht="29" x14ac:dyDescent="0.35">
      <c r="A16" s="130" t="s">
        <v>73</v>
      </c>
      <c r="B16" s="113">
        <f>'Reference Values'!B15</f>
        <v>0.123</v>
      </c>
      <c r="C16" s="113">
        <f>'Reference Values'!C15</f>
        <v>9.8000000000000004E-2</v>
      </c>
      <c r="D16" s="113">
        <f>'Reference Values'!D15</f>
        <v>8.5999999999999993E-2</v>
      </c>
      <c r="E16" s="133"/>
      <c r="F16" s="108" t="s">
        <v>74</v>
      </c>
      <c r="G16" s="108"/>
      <c r="H16" s="114">
        <v>46050</v>
      </c>
      <c r="I16" s="114">
        <v>45782</v>
      </c>
      <c r="J16" s="80" t="s">
        <v>122</v>
      </c>
      <c r="K16" s="120" t="s">
        <v>123</v>
      </c>
    </row>
    <row r="17" spans="1:11" ht="29" x14ac:dyDescent="0.35">
      <c r="A17" s="130" t="s">
        <v>75</v>
      </c>
      <c r="B17" s="113">
        <f>'Reference Values'!B16</f>
        <v>0.112</v>
      </c>
      <c r="C17" s="113">
        <f>'Reference Values'!C16</f>
        <v>0.09</v>
      </c>
      <c r="D17" s="113">
        <f>'Reference Values'!D16</f>
        <v>7.8E-2</v>
      </c>
      <c r="E17" s="133"/>
      <c r="F17" s="108" t="s">
        <v>76</v>
      </c>
      <c r="G17" s="108" t="s">
        <v>124</v>
      </c>
      <c r="H17" s="114">
        <v>46050</v>
      </c>
      <c r="I17" s="114">
        <v>46023</v>
      </c>
      <c r="J17" s="80" t="s">
        <v>120</v>
      </c>
      <c r="K17" s="120" t="s">
        <v>131</v>
      </c>
    </row>
    <row r="18" spans="1:11" ht="29" x14ac:dyDescent="0.35">
      <c r="A18" s="130" t="s">
        <v>77</v>
      </c>
      <c r="B18" s="113">
        <f>'Reference Values'!B17</f>
        <v>0.16600000000000001</v>
      </c>
      <c r="C18" s="113">
        <f>'Reference Values'!C17</f>
        <v>0.13300000000000001</v>
      </c>
      <c r="D18" s="113">
        <f>'Reference Values'!D17</f>
        <v>0.11600000000000001</v>
      </c>
      <c r="E18" s="133"/>
      <c r="F18" s="108" t="s">
        <v>78</v>
      </c>
      <c r="G18" s="108" t="s">
        <v>125</v>
      </c>
      <c r="H18" s="114">
        <v>46050</v>
      </c>
      <c r="I18" s="114">
        <v>46023</v>
      </c>
      <c r="J18" s="80" t="s">
        <v>122</v>
      </c>
      <c r="K18" s="120"/>
    </row>
    <row r="19" spans="1:11" x14ac:dyDescent="0.35">
      <c r="A19" s="130" t="s">
        <v>79</v>
      </c>
      <c r="B19" s="113">
        <f>'Reference Values'!B18</f>
        <v>0.19900000000000001</v>
      </c>
      <c r="C19" s="113">
        <f>'Reference Values'!C18</f>
        <v>0.159</v>
      </c>
      <c r="D19" s="113">
        <f>'Reference Values'!D18</f>
        <v>0.13900000000000001</v>
      </c>
      <c r="E19" s="133"/>
      <c r="F19" s="108" t="s">
        <v>80</v>
      </c>
      <c r="G19" s="108" t="s">
        <v>132</v>
      </c>
      <c r="H19" s="114">
        <v>46050</v>
      </c>
      <c r="I19" s="114">
        <v>46023</v>
      </c>
      <c r="J19" s="80" t="s">
        <v>122</v>
      </c>
      <c r="K19" s="120"/>
    </row>
    <row r="20" spans="1:11" ht="15" thickBot="1" x14ac:dyDescent="0.4">
      <c r="A20" s="61" t="s">
        <v>88</v>
      </c>
      <c r="B20" s="121">
        <v>0</v>
      </c>
      <c r="C20" s="121">
        <v>0</v>
      </c>
      <c r="D20" s="121">
        <v>0</v>
      </c>
      <c r="E20" s="134"/>
      <c r="F20" s="123"/>
      <c r="G20" s="123"/>
      <c r="H20" s="123"/>
      <c r="I20" s="123"/>
      <c r="J20" s="123"/>
      <c r="K20" s="125"/>
    </row>
    <row r="22" spans="1:11" ht="15" thickBot="1" x14ac:dyDescent="0.4"/>
    <row r="23" spans="1:11" x14ac:dyDescent="0.35">
      <c r="A23" s="115" t="s">
        <v>89</v>
      </c>
      <c r="D23" s="116"/>
      <c r="E23" s="116"/>
    </row>
    <row r="24" spans="1:11" x14ac:dyDescent="0.35">
      <c r="A24" s="111" t="s">
        <v>90</v>
      </c>
    </row>
    <row r="25" spans="1:11" ht="15" thickBot="1" x14ac:dyDescent="0.4">
      <c r="A25" s="112" t="s">
        <v>91</v>
      </c>
    </row>
    <row r="29" spans="1:11" x14ac:dyDescent="0.35">
      <c r="A29" s="56"/>
    </row>
    <row r="30" spans="1:11" x14ac:dyDescent="0.35">
      <c r="B30" s="116"/>
    </row>
  </sheetData>
  <hyperlinks>
    <hyperlink ref="F14" r:id="rId1" display="https://www.hagerstownmd.org/DocumentCenter/View/5379/HLD-Tariff?bidId=" xr:uid="{F5F79F5D-DC9D-4FCE-9034-C8E3924F1BDD}"/>
    <hyperlink ref="F15" r:id="rId2" display="https://thurmont.com/DocumentCenter/View/1576/Final---Electric-Service-Tariff---CLN---2020-04-03" xr:uid="{CB4495FD-8F51-468A-9305-A1FFCCD97FF4}"/>
    <hyperlink ref="F18" r:id="rId3" display="https://www.choptankelectric.coop/sites/default/files/03.01.2025 Choptank Electric Tariff and Terms and Conditions.pdf" xr:uid="{D2151CA7-F839-43E9-9DB3-E7E3B2411655}"/>
    <hyperlink ref="F17" r:id="rId4" display="https://www.anec.com/wp-content/uploads/ANEC-A-1-Residential.pdf" xr:uid="{5786558D-1DE3-43CD-AE0E-1EB90EDF04B1}"/>
    <hyperlink ref="F19" r:id="rId5" display="https://www.somersetrec.com/current-rates" xr:uid="{2ED5C5B2-E1AC-47FA-9500-EB588F6C892F}"/>
    <hyperlink ref="G11" r:id="rId6" display="https://www.smeco.coop/wp-content/uploads/SCHEDULE-R.pdf" xr:uid="{1B43799E-613A-4546-AE37-4D9E376E863D}"/>
    <hyperlink ref="F16" r:id="rId7" xr:uid="{374ABEC2-9E02-45CD-8E56-2BCEDBDBD53D}"/>
    <hyperlink ref="F7" r:id="rId8" xr:uid="{57E926AC-AD67-414A-883E-A8CF2983B40C}"/>
    <hyperlink ref="G7" r:id="rId9" xr:uid="{B5143806-76EB-4CC8-AF9B-535D7A57DD2F}"/>
    <hyperlink ref="F8" r:id="rId10" xr:uid="{6725430B-8363-4789-B31E-DCFACF2ED33A}"/>
    <hyperlink ref="F9" r:id="rId11" xr:uid="{01E3099D-A337-4F21-8F13-E960F9F2B9E9}"/>
    <hyperlink ref="F10" r:id="rId12" xr:uid="{75EF2535-9B01-48D2-8301-7ED150C636AA}"/>
    <hyperlink ref="G12" r:id="rId13" xr:uid="{91C183AA-3889-4F89-ABD5-F1A3FD14C145}"/>
    <hyperlink ref="F13" r:id="rId14" xr:uid="{01FE9977-EF28-4809-8F38-872023A77A01}"/>
    <hyperlink ref="G14" r:id="rId15" xr:uid="{B69EC882-FCB4-4E33-A698-DA9BC9A7638B}"/>
    <hyperlink ref="G15" r:id="rId16" xr:uid="{BB6FAA96-FB75-44A6-9F5C-9C893BDA8708}"/>
    <hyperlink ref="G17" r:id="rId17" xr:uid="{17687744-9ED9-4EA6-944E-24F54D83737A}"/>
    <hyperlink ref="G18" r:id="rId18" xr:uid="{959DA6B2-85C2-47CC-987A-925F9D13161F}"/>
    <hyperlink ref="F11" r:id="rId19" xr:uid="{5D63FAF2-0E05-476B-A6FE-2DD652EB48DD}"/>
    <hyperlink ref="F12" r:id="rId20" xr:uid="{47BEB5FB-BAD9-43DD-B3C5-7E1621B689BF}"/>
    <hyperlink ref="G19" r:id="rId21" xr:uid="{0BCA517D-881C-4D8C-972F-CAB6A66EA81B}"/>
  </hyperlinks>
  <pageMargins left="0.7" right="0.7" top="0.75" bottom="0.75" header="0.3" footer="0.3"/>
  <pageSetup orientation="portrait" verticalDpi="0" r:id="rId22"/>
  <legacyDrawing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48AAE66E00A4896E3F9FCB2FC0691" ma:contentTypeVersion="1" ma:contentTypeDescription="Create a new document." ma:contentTypeScope="" ma:versionID="b3551181b9de853868a9ed369d3638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6BF31-7FAE-4484-BEF3-91DDD97EE4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2F2F0-11A0-4F73-8AF4-861597E4E26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089fd1a-ae38-47cb-b27b-d837eb2f9e33"/>
    <ds:schemaRef ds:uri="e880ae3c-bc7a-4d8f-912c-de531598b17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83FE83-2DA1-4976-968B-0F077DA64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PPA</vt:lpstr>
      <vt:lpstr>Lease</vt:lpstr>
      <vt:lpstr>Loan</vt:lpstr>
      <vt:lpstr>System Purchase</vt:lpstr>
      <vt:lpstr>Reference Values</vt:lpstr>
      <vt:lpstr>Change Log</vt:lpstr>
      <vt:lpstr>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Staunton, Jonathon</dc:creator>
  <cp:keywords/>
  <dc:description/>
  <cp:lastModifiedBy>Waters, Corri</cp:lastModifiedBy>
  <cp:revision/>
  <dcterms:created xsi:type="dcterms:W3CDTF">2015-06-05T18:17:20Z</dcterms:created>
  <dcterms:modified xsi:type="dcterms:W3CDTF">2026-01-28T22:32:12Z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0x01010042148AAE66E00A4896E3F9FCB2FC0691</vt:lpwstr>
  </property>
  <property fmtid="{D5CDD505-2E9C-101B-9397-08002B2CF9AE}" pid="3" name="MediaServiceImageTags">
    <vt:lpwstr/>
  </property>
</Properties>
</file>