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brandonw.bowser\Downloads\"/>
    </mc:Choice>
  </mc:AlternateContent>
  <xr:revisionPtr revIDLastSave="0" documentId="13_ncr:1_{1E26281D-9311-422D-944F-E26B3B1C9547}" xr6:coauthVersionLast="47" xr6:coauthVersionMax="47" xr10:uidLastSave="{00000000-0000-0000-0000-000000000000}"/>
  <workbookProtection workbookAlgorithmName="SHA-512" workbookHashValue="V45CKv1VNLQS/6Sg3J8tEMYyq+a9PeYQFTYhWTYdsrJCI5QrBX/3BAC5AhxMngd7hCYT49gYPjbJ1tLf/Pec5A==" workbookSaltValue="SnoX6jFplxIaADkLos0s5Q==" workbookSpinCount="100000" lockStructure="1"/>
  <bookViews>
    <workbookView xWindow="28680" yWindow="-120" windowWidth="29040" windowHeight="15720" firstSheet="1" activeTab="1" xr2:uid="{68D456F5-7C09-4DE9-B456-8E08D4451F54}"/>
  </bookViews>
  <sheets>
    <sheet name="Introduction" sheetId="30" state="hidden" r:id="rId1"/>
    <sheet name="PPA" sheetId="23" r:id="rId2"/>
    <sheet name="Lease" sheetId="22" r:id="rId3"/>
    <sheet name="Loan" sheetId="26" r:id="rId4"/>
    <sheet name="System Purchase" sheetId="21" r:id="rId5"/>
    <sheet name="Reference Values" sheetId="27" r:id="rId6"/>
    <sheet name="Inputs (Hidden)" sheetId="25" state="hidden" r:id="rId7"/>
  </sheets>
  <definedNames>
    <definedName name="_xlnm.Print_Area" localSheetId="0">Introduction!$B$1:$I$68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3" l="1"/>
  <c r="C11" i="22"/>
  <c r="C19" i="23"/>
  <c r="D10" i="25" l="1"/>
  <c r="D9" i="25"/>
  <c r="D8" i="25"/>
  <c r="C20" i="23" s="1"/>
  <c r="D7" i="25"/>
  <c r="C11" i="26" s="1"/>
  <c r="J4" i="26" s="1"/>
  <c r="F4" i="26" s="1"/>
  <c r="C10" i="25"/>
  <c r="C9" i="25"/>
  <c r="C8" i="25"/>
  <c r="B10" i="25"/>
  <c r="B9" i="25"/>
  <c r="B8" i="25"/>
  <c r="C7" i="25"/>
  <c r="B7" i="25"/>
  <c r="C20" i="26"/>
  <c r="I4" i="26"/>
  <c r="E4" i="26"/>
  <c r="E5" i="26" s="1"/>
  <c r="C11" i="21"/>
  <c r="I4" i="21" s="1"/>
  <c r="C18" i="21"/>
  <c r="C19" i="22"/>
  <c r="I4" i="23"/>
  <c r="F4" i="23"/>
  <c r="F5" i="23" s="1"/>
  <c r="I4" i="22"/>
  <c r="E4" i="22"/>
  <c r="E5" i="22" s="1"/>
  <c r="H4" i="21"/>
  <c r="E4" i="21"/>
  <c r="E5" i="21" s="1"/>
  <c r="J4" i="23" l="1"/>
  <c r="J5" i="23" s="1"/>
  <c r="B22" i="23"/>
  <c r="E6" i="26"/>
  <c r="J5" i="26"/>
  <c r="F5" i="26" s="1"/>
  <c r="I5" i="26"/>
  <c r="F4" i="21"/>
  <c r="J4" i="22"/>
  <c r="F4" i="22" s="1"/>
  <c r="F6" i="23"/>
  <c r="I5" i="23"/>
  <c r="I5" i="22"/>
  <c r="E6" i="22"/>
  <c r="E6" i="21"/>
  <c r="I5" i="21"/>
  <c r="H5" i="21"/>
  <c r="G4" i="23" l="1"/>
  <c r="E7" i="26"/>
  <c r="J6" i="26"/>
  <c r="F6" i="26" s="1"/>
  <c r="I6" i="26"/>
  <c r="F5" i="21"/>
  <c r="J5" i="22"/>
  <c r="F5" i="22" s="1"/>
  <c r="G5" i="23"/>
  <c r="I6" i="23"/>
  <c r="F7" i="23"/>
  <c r="J6" i="23"/>
  <c r="E7" i="22"/>
  <c r="I6" i="22"/>
  <c r="I6" i="21"/>
  <c r="H6" i="21"/>
  <c r="E7" i="21"/>
  <c r="J6" i="22" l="1"/>
  <c r="F6" i="22" s="1"/>
  <c r="J7" i="26"/>
  <c r="F7" i="26" s="1"/>
  <c r="E8" i="26"/>
  <c r="I7" i="26"/>
  <c r="F6" i="21"/>
  <c r="G6" i="23"/>
  <c r="J7" i="23"/>
  <c r="I7" i="23"/>
  <c r="F8" i="23"/>
  <c r="I7" i="22"/>
  <c r="E8" i="22"/>
  <c r="H7" i="21"/>
  <c r="I7" i="21"/>
  <c r="E8" i="21"/>
  <c r="J7" i="22" l="1"/>
  <c r="F7" i="22" s="1"/>
  <c r="J8" i="26"/>
  <c r="I8" i="26"/>
  <c r="E9" i="26"/>
  <c r="F7" i="21"/>
  <c r="G7" i="23"/>
  <c r="J8" i="23"/>
  <c r="I8" i="23"/>
  <c r="F9" i="23"/>
  <c r="E9" i="22"/>
  <c r="I8" i="22"/>
  <c r="E9" i="21"/>
  <c r="H8" i="21"/>
  <c r="I8" i="21"/>
  <c r="F8" i="21" s="1"/>
  <c r="F8" i="26" l="1"/>
  <c r="J8" i="22"/>
  <c r="F8" i="22" s="1"/>
  <c r="E10" i="26"/>
  <c r="J9" i="26"/>
  <c r="F9" i="26" s="1"/>
  <c r="I9" i="26"/>
  <c r="G8" i="23"/>
  <c r="I9" i="23"/>
  <c r="F10" i="23"/>
  <c r="J9" i="23"/>
  <c r="G9" i="23" s="1"/>
  <c r="I9" i="22"/>
  <c r="E10" i="22"/>
  <c r="E10" i="21"/>
  <c r="I9" i="21"/>
  <c r="H9" i="21"/>
  <c r="J9" i="22" l="1"/>
  <c r="F9" i="22" s="1"/>
  <c r="E11" i="26"/>
  <c r="J10" i="26"/>
  <c r="I10" i="26"/>
  <c r="F9" i="21"/>
  <c r="F11" i="23"/>
  <c r="J10" i="23"/>
  <c r="I10" i="23"/>
  <c r="E11" i="22"/>
  <c r="I10" i="22"/>
  <c r="I10" i="21"/>
  <c r="H10" i="21"/>
  <c r="E11" i="21"/>
  <c r="J10" i="22" l="1"/>
  <c r="F10" i="22" s="1"/>
  <c r="F10" i="26"/>
  <c r="E12" i="26"/>
  <c r="J11" i="26"/>
  <c r="F11" i="26" s="1"/>
  <c r="I11" i="26"/>
  <c r="F10" i="21"/>
  <c r="G10" i="23"/>
  <c r="I11" i="23"/>
  <c r="J11" i="23"/>
  <c r="F12" i="23"/>
  <c r="I11" i="22"/>
  <c r="E12" i="22"/>
  <c r="H11" i="21"/>
  <c r="I11" i="21"/>
  <c r="E12" i="21"/>
  <c r="J11" i="22" l="1"/>
  <c r="F11" i="22" s="1"/>
  <c r="E13" i="26"/>
  <c r="J12" i="26"/>
  <c r="I12" i="26"/>
  <c r="F11" i="21"/>
  <c r="G11" i="23"/>
  <c r="F13" i="23"/>
  <c r="I12" i="23"/>
  <c r="J12" i="23"/>
  <c r="I12" i="22"/>
  <c r="E13" i="22"/>
  <c r="E13" i="21"/>
  <c r="H12" i="21"/>
  <c r="I12" i="21"/>
  <c r="J12" i="22" l="1"/>
  <c r="J13" i="22" s="1"/>
  <c r="G12" i="23"/>
  <c r="F12" i="26"/>
  <c r="F12" i="21"/>
  <c r="E14" i="26"/>
  <c r="J13" i="26"/>
  <c r="I13" i="26"/>
  <c r="F14" i="23"/>
  <c r="J13" i="23"/>
  <c r="I13" i="23"/>
  <c r="E14" i="22"/>
  <c r="I13" i="22"/>
  <c r="E14" i="21"/>
  <c r="I13" i="21"/>
  <c r="F13" i="21" s="1"/>
  <c r="H13" i="21"/>
  <c r="F12" i="22" l="1"/>
  <c r="F13" i="22"/>
  <c r="F13" i="26"/>
  <c r="E15" i="26"/>
  <c r="J14" i="26"/>
  <c r="I14" i="26"/>
  <c r="G13" i="23"/>
  <c r="J14" i="23"/>
  <c r="I14" i="23"/>
  <c r="F15" i="23"/>
  <c r="J14" i="22"/>
  <c r="I14" i="22"/>
  <c r="E15" i="22"/>
  <c r="H14" i="21"/>
  <c r="E15" i="21"/>
  <c r="I14" i="21"/>
  <c r="F14" i="26" l="1"/>
  <c r="F14" i="22"/>
  <c r="E16" i="26"/>
  <c r="J15" i="26"/>
  <c r="F15" i="26" s="1"/>
  <c r="I15" i="26"/>
  <c r="F14" i="21"/>
  <c r="G14" i="23"/>
  <c r="F16" i="23"/>
  <c r="I15" i="23"/>
  <c r="J15" i="23"/>
  <c r="E16" i="22"/>
  <c r="J15" i="22"/>
  <c r="I15" i="22"/>
  <c r="H15" i="21"/>
  <c r="E16" i="21"/>
  <c r="I15" i="21"/>
  <c r="F15" i="21" l="1"/>
  <c r="E17" i="26"/>
  <c r="J16" i="26"/>
  <c r="I16" i="26"/>
  <c r="F15" i="22"/>
  <c r="G15" i="23"/>
  <c r="J16" i="23"/>
  <c r="I16" i="23"/>
  <c r="F17" i="23"/>
  <c r="I16" i="22"/>
  <c r="E17" i="22"/>
  <c r="J16" i="22"/>
  <c r="F16" i="22" s="1"/>
  <c r="H16" i="21"/>
  <c r="E17" i="21"/>
  <c r="I16" i="21"/>
  <c r="F16" i="21" s="1"/>
  <c r="F16" i="26" l="1"/>
  <c r="I17" i="26"/>
  <c r="E18" i="26"/>
  <c r="J17" i="26"/>
  <c r="G16" i="23"/>
  <c r="J17" i="23"/>
  <c r="F18" i="23"/>
  <c r="I17" i="23"/>
  <c r="J17" i="22"/>
  <c r="E18" i="22"/>
  <c r="I17" i="22"/>
  <c r="E18" i="21"/>
  <c r="I17" i="21"/>
  <c r="H17" i="21"/>
  <c r="F17" i="21" l="1"/>
  <c r="F17" i="26"/>
  <c r="E19" i="26"/>
  <c r="J18" i="26"/>
  <c r="F18" i="26" s="1"/>
  <c r="I18" i="26"/>
  <c r="F17" i="22"/>
  <c r="G17" i="23"/>
  <c r="F19" i="23"/>
  <c r="J18" i="23"/>
  <c r="I18" i="23"/>
  <c r="E19" i="22"/>
  <c r="J18" i="22"/>
  <c r="I18" i="22"/>
  <c r="I18" i="21"/>
  <c r="E19" i="21"/>
  <c r="H18" i="21"/>
  <c r="F18" i="22" l="1"/>
  <c r="G18" i="23"/>
  <c r="E20" i="26"/>
  <c r="J19" i="26"/>
  <c r="I19" i="26"/>
  <c r="F18" i="21"/>
  <c r="I19" i="23"/>
  <c r="J19" i="23"/>
  <c r="G19" i="23" s="1"/>
  <c r="F20" i="23"/>
  <c r="J19" i="22"/>
  <c r="E20" i="22"/>
  <c r="I19" i="22"/>
  <c r="I19" i="21"/>
  <c r="E20" i="21"/>
  <c r="H19" i="21"/>
  <c r="F19" i="26" l="1"/>
  <c r="I20" i="26"/>
  <c r="J20" i="26"/>
  <c r="E21" i="26"/>
  <c r="F19" i="21"/>
  <c r="F19" i="22"/>
  <c r="F21" i="23"/>
  <c r="J20" i="23"/>
  <c r="I20" i="23"/>
  <c r="E21" i="22"/>
  <c r="J20" i="22"/>
  <c r="I20" i="22"/>
  <c r="E21" i="21"/>
  <c r="H20" i="21"/>
  <c r="I20" i="21"/>
  <c r="F20" i="26" l="1"/>
  <c r="E22" i="26"/>
  <c r="J21" i="26"/>
  <c r="F21" i="26" s="1"/>
  <c r="I21" i="26"/>
  <c r="F20" i="21"/>
  <c r="F20" i="22"/>
  <c r="G20" i="23"/>
  <c r="I21" i="23"/>
  <c r="F22" i="23"/>
  <c r="J21" i="23"/>
  <c r="J21" i="22"/>
  <c r="I21" i="22"/>
  <c r="E22" i="22"/>
  <c r="I21" i="21"/>
  <c r="H21" i="21"/>
  <c r="E22" i="21"/>
  <c r="E23" i="26" l="1"/>
  <c r="I22" i="26"/>
  <c r="J22" i="26"/>
  <c r="F21" i="21"/>
  <c r="F21" i="22"/>
  <c r="G21" i="23"/>
  <c r="J22" i="23"/>
  <c r="I22" i="23"/>
  <c r="F23" i="23"/>
  <c r="J22" i="22"/>
  <c r="I22" i="22"/>
  <c r="E23" i="22"/>
  <c r="I22" i="21"/>
  <c r="H22" i="21"/>
  <c r="E23" i="21"/>
  <c r="F22" i="26" l="1"/>
  <c r="I23" i="26"/>
  <c r="J23" i="26"/>
  <c r="F23" i="26" s="1"/>
  <c r="E24" i="26"/>
  <c r="F22" i="21"/>
  <c r="F22" i="22"/>
  <c r="G22" i="23"/>
  <c r="F24" i="23"/>
  <c r="J23" i="23"/>
  <c r="I23" i="23"/>
  <c r="E24" i="22"/>
  <c r="J23" i="22"/>
  <c r="I23" i="22"/>
  <c r="E24" i="21"/>
  <c r="I23" i="21"/>
  <c r="H23" i="21"/>
  <c r="E25" i="26" l="1"/>
  <c r="J24" i="26"/>
  <c r="F24" i="26" s="1"/>
  <c r="I24" i="26"/>
  <c r="F23" i="21"/>
  <c r="F23" i="22"/>
  <c r="G23" i="23"/>
  <c r="J24" i="23"/>
  <c r="I24" i="23"/>
  <c r="F25" i="23"/>
  <c r="E25" i="22"/>
  <c r="I24" i="22"/>
  <c r="J24" i="22"/>
  <c r="E25" i="21"/>
  <c r="I24" i="21"/>
  <c r="H24" i="21"/>
  <c r="G24" i="23" l="1"/>
  <c r="J25" i="26"/>
  <c r="F25" i="26" s="1"/>
  <c r="I25" i="26"/>
  <c r="E26" i="26"/>
  <c r="F24" i="21"/>
  <c r="F24" i="22"/>
  <c r="F26" i="23"/>
  <c r="J25" i="23"/>
  <c r="I25" i="23"/>
  <c r="E26" i="22"/>
  <c r="J25" i="22"/>
  <c r="F25" i="22" s="1"/>
  <c r="I25" i="22"/>
  <c r="E26" i="21"/>
  <c r="H25" i="21"/>
  <c r="I25" i="21"/>
  <c r="F25" i="21" l="1"/>
  <c r="J26" i="26"/>
  <c r="F26" i="26" s="1"/>
  <c r="I26" i="26"/>
  <c r="E27" i="26"/>
  <c r="G25" i="23"/>
  <c r="I26" i="23"/>
  <c r="F27" i="23"/>
  <c r="J26" i="23"/>
  <c r="G26" i="23" s="1"/>
  <c r="I26" i="22"/>
  <c r="J26" i="22"/>
  <c r="F26" i="22" s="1"/>
  <c r="E27" i="22"/>
  <c r="H26" i="21"/>
  <c r="I26" i="21"/>
  <c r="F26" i="21" s="1"/>
  <c r="E27" i="21"/>
  <c r="E28" i="26" l="1"/>
  <c r="J27" i="26"/>
  <c r="F27" i="26" s="1"/>
  <c r="I27" i="26"/>
  <c r="F28" i="23"/>
  <c r="J27" i="23"/>
  <c r="I27" i="23"/>
  <c r="I27" i="22"/>
  <c r="E28" i="22"/>
  <c r="J27" i="22"/>
  <c r="F27" i="22" s="1"/>
  <c r="H27" i="21"/>
  <c r="E28" i="21"/>
  <c r="I27" i="21"/>
  <c r="F27" i="21" l="1"/>
  <c r="J28" i="26"/>
  <c r="F28" i="26" s="1"/>
  <c r="C22" i="26" s="1"/>
  <c r="C21" i="26" s="1"/>
  <c r="B24" i="26" s="1"/>
  <c r="I28" i="26"/>
  <c r="G27" i="23"/>
  <c r="J28" i="23"/>
  <c r="I28" i="23"/>
  <c r="J28" i="22"/>
  <c r="I28" i="22"/>
  <c r="I28" i="21"/>
  <c r="H28" i="21"/>
  <c r="F32" i="26" l="1"/>
  <c r="G4" i="26"/>
  <c r="F28" i="21"/>
  <c r="F28" i="22"/>
  <c r="F32" i="22" s="1"/>
  <c r="G28" i="23"/>
  <c r="F32" i="23" s="1"/>
  <c r="E32" i="21"/>
  <c r="C19" i="21" s="1"/>
  <c r="B21" i="21" s="1"/>
  <c r="G5" i="26" l="1"/>
  <c r="G6" i="26" s="1"/>
  <c r="G7" i="26" s="1"/>
  <c r="G8" i="26" s="1"/>
  <c r="G9" i="26" s="1"/>
  <c r="G10" i="26" s="1"/>
  <c r="G11" i="26" s="1"/>
  <c r="G12" i="26" s="1"/>
  <c r="G13" i="26" s="1"/>
  <c r="G14" i="26" s="1"/>
  <c r="G15" i="26" s="1"/>
  <c r="G16" i="26" s="1"/>
  <c r="G17" i="26" s="1"/>
  <c r="G18" i="26" s="1"/>
  <c r="G19" i="26" s="1"/>
  <c r="G20" i="26" s="1"/>
  <c r="G21" i="26" s="1"/>
  <c r="G22" i="26" s="1"/>
  <c r="G23" i="26" s="1"/>
  <c r="G24" i="26" s="1"/>
  <c r="G25" i="26" s="1"/>
  <c r="G26" i="26" s="1"/>
  <c r="G27" i="26" s="1"/>
  <c r="G28" i="26" s="1"/>
  <c r="C20" i="22"/>
  <c r="G4" i="22" l="1"/>
  <c r="G5" i="22" s="1"/>
  <c r="G6" i="22" s="1"/>
  <c r="G7" i="22" s="1"/>
  <c r="G8" i="22" s="1"/>
  <c r="G9" i="22" s="1"/>
  <c r="G10" i="22" s="1"/>
  <c r="G11" i="22" s="1"/>
  <c r="G12" i="22" s="1"/>
  <c r="G13" i="22" s="1"/>
  <c r="G14" i="22" s="1"/>
  <c r="G15" i="22" s="1"/>
  <c r="G16" i="22" s="1"/>
  <c r="G17" i="22" s="1"/>
  <c r="G18" i="22" s="1"/>
  <c r="G19" i="22" s="1"/>
  <c r="G20" i="22" s="1"/>
  <c r="G21" i="22" s="1"/>
  <c r="G22" i="22" s="1"/>
  <c r="G23" i="22" s="1"/>
  <c r="G24" i="22" s="1"/>
  <c r="G25" i="22" s="1"/>
  <c r="G26" i="22" s="1"/>
  <c r="G27" i="22" s="1"/>
  <c r="G28" i="22" s="1"/>
  <c r="B22" i="22"/>
  <c r="G32" i="26"/>
  <c r="G32"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tc={F136F76E-C0F1-4EC7-9065-5191D194578E}</author>
    <author>tc={45E1F99B-D9B5-4B14-BAD9-E588C403B9D9}</author>
    <author>tc={ED5C29AE-8075-47F6-ADAF-8FA5E3F6E873}</author>
    <author>tc={5357D4DA-A268-4D67-9E39-2A606B242E93}</author>
    <author>tc={7FC471FD-B3D6-41DD-83B1-5D0B5DC22705}</author>
    <author>tc={FCECD222-6982-4CD3-A195-ED6524145B7B}</author>
    <author>tc={57EFFA37-27BA-41EB-AF3F-C3C311A21B72}</author>
    <author>tc={33468B22-4FA6-4ECE-9CD1-20DE2C29D935}</author>
  </authors>
  <commentList>
    <comment ref="B73" authorId="0" shapeId="0" xr:uid="{F136F76E-C0F1-4EC7-9065-5191D194578E}">
      <text>
        <t>[Threaded comment]
Your version of Excel allows you to read this threaded comment; however, any edits to it will get removed if the file is opened in a newer version of Excel. Learn more: https://go.microsoft.com/fwlink/?linkid=870924
Comment:
    @Staunton, Jonathon - what is the point of the red vs. yellow vs. green boxes? It is not clear so if it has meaning recommend adding a legend. Also, R,Y,G have a common understanding as bad, OK, good - so if we do not want to have that inference recommend changing to more neutral colors or using different borders to separate the sections.</t>
      </text>
    </comment>
    <comment ref="B74" authorId="1" shapeId="0" xr:uid="{45E1F99B-D9B5-4B14-BAD9-E588C403B9D9}">
      <text>
        <t>[Threaded comment]
Your version of Excel allows you to read this threaded comment; however, any edits to it will get removed if the file is opened in a newer version of Excel. Learn more: https://go.microsoft.com/fwlink/?linkid=870924
Comment:
    @Staunton, Jonathon - what is the MEA minimum requirements? I believe this is the 10% or 20% depending on escalator, but I don’t see that defined on this tab.</t>
      </text>
    </comment>
    <comment ref="D74" authorId="2" shapeId="0" xr:uid="{ED5C29AE-8075-47F6-ADAF-8FA5E3F6E873}">
      <text>
        <t>[Threaded comment]
Your version of Excel allows you to read this threaded comment; however, any edits to it will get removed if the file is opened in a newer version of Excel. Learn more: https://go.microsoft.com/fwlink/?linkid=870924
Comment:
    @Staunton, Jonathon - recommend keeping the term we are defining bolded, but not the rest of the text (may be easiest to have it as two cells.</t>
      </text>
    </comment>
    <comment ref="B76" authorId="3" shapeId="0" xr:uid="{5357D4DA-A268-4D67-9E39-2A606B242E93}">
      <text>
        <t>[Threaded comment]
Your version of Excel allows you to read this threaded comment; however, any edits to it will get removed if the file is opened in a newer version of Excel. Learn more: https://go.microsoft.com/fwlink/?linkid=870924
Comment:
    @Staunton, Jonathon  - I may be misunderstanding, but this definition seems to be the $/kWh rate customers pays - which is fixed (with maybe a winter/summer difference for one of the utilities). Is that correct, this is the $/kWh the CUSTOMER pays (including taxes on the energy but ignoring fixed/demand charges). 
That is different than the definitions I am finding on google which discuss the marginal cost for the UTILITY to provide the electricity at a specific time (so it will vary hour to hour and not just seasonally).</t>
      </text>
    </comment>
    <comment ref="K82" authorId="4" shapeId="0" xr:uid="{7FC471FD-B3D6-41DD-83B1-5D0B5DC22705}">
      <text>
        <t>[Threaded comment]
Your version of Excel allows you to read this threaded comment; however, any edits to it will get removed if the file is opened in a newer version of Excel. Learn more: https://go.microsoft.com/fwlink/?linkid=870924
Comment:
    @Staunton, Jonathon  - I am not exactly sure what the arrows are supposed to mean. I think it would be good to try and show how these different rates tie together, but don’t think this hits the mark. Maybe we can have a standard equation and fade out the variables that do not impact the different rate definitions? Or an illustrative example of the inputs and how the rates are calculated would be helpful (could be a high-level table showing how these different rates are calculated).</t>
      </text>
    </comment>
    <comment ref="B83" authorId="5" shapeId="0" xr:uid="{FCECD222-6982-4CD3-A195-ED6524145B7B}">
      <text>
        <t>[Threaded comment]
Your version of Excel allows you to read this threaded comment; however, any edits to it will get removed if the file is opened in a newer version of Excel. Learn more: https://go.microsoft.com/fwlink/?linkid=870924
Comment:
    @Staunton, Jonathon - the customer does not pay the owner $/kWh, correct? Would it be more accurate to call this the normalized/levelized cost per kWh of forecasted production over the life of the loan/system?</t>
      </text>
    </comment>
    <comment ref="B84" authorId="6" shapeId="0" xr:uid="{57EFFA37-27BA-41EB-AF3F-C3C311A21B72}">
      <text>
        <t>[Threaded comment]
Your version of Excel allows you to read this threaded comment; however, any edits to it will get removed if the file is opened in a newer version of Excel. Learn more: https://go.microsoft.com/fwlink/?linkid=870924
Comment:
    @Staunton, Jonathon - same as above, is it more accurate to call this a “levelized” cost of the kWh production? And over the life of the system or the lease term? (And ignore this if the owner does actually have to pay the owner of the system - but what I usually see is the homeowner pays for the installation and gets the benefit of all the production.</t>
      </text>
    </comment>
    <comment ref="B88" authorId="7" shapeId="0" xr:uid="{33468B22-4FA6-4ECE-9CD1-20DE2C29D935}">
      <text>
        <t>[Threaded comment]
Your version of Excel allows you to read this threaded comment; however, any edits to it will get removed if the file is opened in a newer version of Excel. Learn more: https://go.microsoft.com/fwlink/?linkid=870924
Comment:
    @Staunton, Jonathon - see comments above for the “No Rebate) options.</t>
      </text>
    </comment>
  </commentList>
</comments>
</file>

<file path=xl/sharedStrings.xml><?xml version="1.0" encoding="utf-8"?>
<sst xmlns="http://schemas.openxmlformats.org/spreadsheetml/2006/main" count="215" uniqueCount="144">
  <si>
    <t>Year</t>
  </si>
  <si>
    <t>Avg. System Production [kWh/mo]</t>
  </si>
  <si>
    <t>PPA Rates [$/kWh]</t>
  </si>
  <si>
    <t>System Owner NPV Discount Rate [%]</t>
  </si>
  <si>
    <t>First-Year Projected Total PV Generation [kWh/yr]</t>
  </si>
  <si>
    <t>PPA and Lease Term, System Lifespan (25-Year Maximum) [yrs]</t>
  </si>
  <si>
    <t>PPA</t>
  </si>
  <si>
    <t>Lease</t>
  </si>
  <si>
    <t>Loan</t>
  </si>
  <si>
    <t>Lease Escalator [%/yr]</t>
  </si>
  <si>
    <t>PPA Cost [$/yr]</t>
  </si>
  <si>
    <t>Lease Cost [$/yr]</t>
  </si>
  <si>
    <t>Loan Cost [$/yr]</t>
  </si>
  <si>
    <t>Loan Term (25-Year Maximum) [yrs]</t>
  </si>
  <si>
    <t>PPA Escalator [%/yr]</t>
  </si>
  <si>
    <t>Static Assumed Values</t>
  </si>
  <si>
    <t>Annual Degradation Rate [%]</t>
  </si>
  <si>
    <r>
      <t xml:space="preserve">Maximum-Offer: First Year PPA Rate </t>
    </r>
    <r>
      <rPr>
        <u/>
        <sz val="11"/>
        <color theme="1"/>
        <rFont val="Calibri"/>
        <family val="2"/>
        <scheme val="minor"/>
      </rPr>
      <t>with escalator</t>
    </r>
    <r>
      <rPr>
        <sz val="11"/>
        <color theme="1"/>
        <rFont val="Calibri"/>
        <family val="2"/>
        <scheme val="minor"/>
      </rPr>
      <t xml:space="preserve"> [$/kWh]</t>
    </r>
  </si>
  <si>
    <t>Gray Cells: Static values, not to be edited.
Yellow Cells: Input values.
Blue Cells: Output values.</t>
  </si>
  <si>
    <t>The MEA grant is authorized to the contractor, in addition to
other federal and state incentives, allowing the contractor to
provide a discounted PPA rate to the resident</t>
  </si>
  <si>
    <t>Dropdown Lists</t>
  </si>
  <si>
    <t>Yes</t>
  </si>
  <si>
    <t>No</t>
  </si>
  <si>
    <t>System Annual Degradation Rate [%]</t>
  </si>
  <si>
    <t>PPA Inputs</t>
  </si>
  <si>
    <t>PEPCO</t>
  </si>
  <si>
    <t>BGE</t>
  </si>
  <si>
    <t>Delmarva Power</t>
  </si>
  <si>
    <t>Potomac Edison</t>
  </si>
  <si>
    <t>Maximum Offer: first year PPA rate ($/kWh) (No Escalator)</t>
  </si>
  <si>
    <t>Maximum Offer: first year PPA rate ($/kWh) (Escalator)</t>
  </si>
  <si>
    <t>Utility Service Territory</t>
  </si>
  <si>
    <t>Avoidable Rate ($/kWh)</t>
  </si>
  <si>
    <t>Output message of "This does not xyz"</t>
  </si>
  <si>
    <t>Customer Utility Service Territory</t>
  </si>
  <si>
    <t>The MEA grant is authorized to the contractor, in addition to
other federal and state incentives, allowing the contractor to
provide a discounted lease rate to the resident</t>
  </si>
  <si>
    <t>Non-solar costs incorporated into the lease rate (enter $0 if
lease rate is reflective of solar-related costs only)</t>
  </si>
  <si>
    <t>Maximum-Equivalent Offer Calculator: PPA</t>
  </si>
  <si>
    <t>First-year monthly lease rate (as appears on the contract)</t>
  </si>
  <si>
    <t>Lease Term, System Lifespan (25-Year Maximum) [yrs]</t>
  </si>
  <si>
    <t>Maximum-Equivalent Offer Calculator: Lease</t>
  </si>
  <si>
    <t>Maximum-Equivalent Offer Calculator: Loan</t>
  </si>
  <si>
    <t>Maximum Offer: First-Year PPA Rate subject to MEA's policy [$/kWh]</t>
  </si>
  <si>
    <t>Maximum Offer: First-Month Lease Payment subject to MEA's policy [$/mo]</t>
  </si>
  <si>
    <t>Net Present Value 
(Cost to Customer)</t>
  </si>
  <si>
    <t>Lease Inputs</t>
  </si>
  <si>
    <t>Loan Inputs</t>
  </si>
  <si>
    <t>Total System Cost (as appears on the contract) [$]</t>
  </si>
  <si>
    <t>Non-solar costs (enter $0 if all costs are solar-related) [$]</t>
  </si>
  <si>
    <t>MEA grant amount to the resident (enter $0 if the grant is authorized to the contractor instead) [$]</t>
  </si>
  <si>
    <t>Federal Tax Credit amount to the resident (enter $0 if the customer has not indicated a willingness to file for the federal ITC. Also enter $0 if the customer has indicated that they do not expect to have the tax liability to benefit from it) [$]</t>
  </si>
  <si>
    <t>Maximum Offer: Loan Principal subject to MEA's policy [$]</t>
  </si>
  <si>
    <t>Maximum Offer: Loan Payment subject to MEA's policy [$/mo]</t>
  </si>
  <si>
    <t>Current Avoidable Rate ($/kWh)</t>
  </si>
  <si>
    <t>Maximum-Equivalent Offer Calculator: System Purchase</t>
  </si>
  <si>
    <r>
      <t xml:space="preserve">Total Loan Principal subject to MEA’s minimum benefits policy </t>
    </r>
    <r>
      <rPr>
        <sz val="11"/>
        <color theme="1"/>
        <rFont val="Calibri"/>
        <family val="2"/>
        <scheme val="minor"/>
      </rPr>
      <t>(for comparison with Maximum Offer)</t>
    </r>
    <r>
      <rPr>
        <b/>
        <sz val="11"/>
        <color theme="1"/>
        <rFont val="Calibri"/>
        <family val="2"/>
        <scheme val="minor"/>
      </rPr>
      <t xml:space="preserve"> [$]</t>
    </r>
  </si>
  <si>
    <t>Maximum Offer: System Purchase Cost subject to MEA's policy [$]</t>
  </si>
  <si>
    <r>
      <t xml:space="preserve">Total Cost subject to MEA’s minimum benefits policy </t>
    </r>
    <r>
      <rPr>
        <sz val="11"/>
        <color theme="1"/>
        <rFont val="Calibri"/>
        <family val="2"/>
        <scheme val="minor"/>
      </rPr>
      <t>(for comparison with Maximum Offer)</t>
    </r>
    <r>
      <rPr>
        <b/>
        <sz val="11"/>
        <color theme="1"/>
        <rFont val="Calibri"/>
        <family val="2"/>
        <scheme val="minor"/>
      </rPr>
      <t xml:space="preserve"> [$]</t>
    </r>
  </si>
  <si>
    <t>MEA grant amount to the resident (enter $0 if the
grant is authorized to the contractor instead) [$]</t>
  </si>
  <si>
    <t>Total System Cost (as appears on the contract, or internally valued) [$]</t>
  </si>
  <si>
    <t>Loan Interest Rate (as appears on the contract) [%]</t>
  </si>
  <si>
    <r>
      <rPr>
        <b/>
        <sz val="11"/>
        <color theme="1"/>
        <rFont val="Calibri"/>
        <family val="2"/>
        <scheme val="minor"/>
      </rPr>
      <t>First-year monthly lease rate subject to MEA’s minimum benefits policy</t>
    </r>
    <r>
      <rPr>
        <sz val="11"/>
        <color theme="1"/>
        <rFont val="Calibri"/>
        <family val="2"/>
        <scheme val="minor"/>
      </rPr>
      <t xml:space="preserve"> (for
comparison with Maximum Offer) </t>
    </r>
    <r>
      <rPr>
        <b/>
        <sz val="11"/>
        <color theme="1"/>
        <rFont val="Calibri"/>
        <family val="2"/>
        <scheme val="minor"/>
      </rPr>
      <t>[$/mo]</t>
    </r>
  </si>
  <si>
    <r>
      <t xml:space="preserve">PPA rate subject to MEA’s minimum benefits policy </t>
    </r>
    <r>
      <rPr>
        <sz val="11"/>
        <color theme="1"/>
        <rFont val="Calibri"/>
        <family val="2"/>
        <scheme val="minor"/>
      </rPr>
      <t xml:space="preserve">(for
comparison with Maximum Offer) </t>
    </r>
    <r>
      <rPr>
        <b/>
        <sz val="11"/>
        <color theme="1"/>
        <rFont val="Calibri"/>
        <family val="2"/>
        <scheme val="minor"/>
      </rPr>
      <t>[$/kWh]</t>
    </r>
  </si>
  <si>
    <t>PPA rate (as appears on the contract) [$/kWh]</t>
  </si>
  <si>
    <t>Non-solar costs incorporated into the PPA rate (enter $0 if
PPA rate is reflective of solar-related costs only) [$]</t>
  </si>
  <si>
    <t>System Compliance Messages</t>
  </si>
  <si>
    <t>The system design meets MEA program requirements.</t>
  </si>
  <si>
    <t>The system design does not meet MEA program requirements.</t>
  </si>
  <si>
    <t>System Purchase Inputs</t>
  </si>
  <si>
    <t>Demarva Power</t>
  </si>
  <si>
    <t>Reference Values</t>
  </si>
  <si>
    <t>PPA / System Purchase</t>
  </si>
  <si>
    <t>Total System Cost (as appears on the contract or disclosure) [$]</t>
  </si>
  <si>
    <t>Total System Cost (as appears on the contract or disclosure)</t>
  </si>
  <si>
    <t>Introduction</t>
  </si>
  <si>
    <t>As part of the development of Consumer Protection Policy for Maryland Energy Administration's (MEA's) Solar Access Program, this workbook was developed with the following 3 objectives:</t>
  </si>
  <si>
    <t>1. Calculate the customer's avoidable rate today</t>
  </si>
  <si>
    <t>2. Determine what percentage below the avoidable rate is achievable for an assumed PPA rate with and without a rebate</t>
  </si>
  <si>
    <t>3. Calculate an equivalent maximum offer for solar lease, loan, and purchase.</t>
  </si>
  <si>
    <r>
      <t>The conceptual methodology and an interpretation of results are provided in the accompanying</t>
    </r>
    <r>
      <rPr>
        <i/>
        <sz val="11"/>
        <color theme="1"/>
        <rFont val="Calibri"/>
        <family val="2"/>
        <scheme val="minor"/>
      </rPr>
      <t xml:space="preserve"> PPA Consumer Benefits Analysis Memo</t>
    </r>
    <r>
      <rPr>
        <sz val="11"/>
        <color theme="1"/>
        <rFont val="Calibri"/>
        <family val="2"/>
        <scheme val="minor"/>
      </rPr>
      <t>.</t>
    </r>
  </si>
  <si>
    <t>Results</t>
  </si>
  <si>
    <t>Objective 1:</t>
  </si>
  <si>
    <t>Customer's Avoidable Rates Today ($/kWh)</t>
  </si>
  <si>
    <t>Weighted Average</t>
  </si>
  <si>
    <t>PEPCO MD</t>
  </si>
  <si>
    <t>Delmarva</t>
  </si>
  <si>
    <t>PE</t>
  </si>
  <si>
    <t>Objective 2:</t>
  </si>
  <si>
    <t>0% Escalation</t>
  </si>
  <si>
    <t>Average Avoidable Rate</t>
  </si>
  <si>
    <t>Rebate:</t>
  </si>
  <si>
    <t>without</t>
  </si>
  <si>
    <t>with</t>
  </si>
  <si>
    <t>PPA Rate</t>
  </si>
  <si>
    <t>Achievable % Below Avoidable Rate</t>
  </si>
  <si>
    <t>PPA Cost Savings, Lifetime Average ($/yr)</t>
  </si>
  <si>
    <t>3% Escalation</t>
  </si>
  <si>
    <t>Objective 3:</t>
  </si>
  <si>
    <t>Equivalent Maximum Offers (Average Avoidable Rate) with 0% Escalation</t>
  </si>
  <si>
    <t>Offer</t>
  </si>
  <si>
    <t>Solar Lease Payment ($/mo, First Year)</t>
  </si>
  <si>
    <t>Solar Loan Payment ($/mo)</t>
  </si>
  <si>
    <t>Solar Purchase (Max Post-Incentive Cost, $)</t>
  </si>
  <si>
    <t>Equivalent Maximum Offers (Average Avoidable Rate) with 3% Escalation</t>
  </si>
  <si>
    <t>Methodology</t>
  </si>
  <si>
    <t>Items in red are adjustable by MEA.</t>
  </si>
  <si>
    <t>Calculating the Avoidable Rate</t>
  </si>
  <si>
    <t>2. The utility rates were used to establish the avoidable rates in the table above.</t>
  </si>
  <si>
    <t>Calculating the % below the avoidable rate that is achievable by a given PPA rate</t>
  </si>
  <si>
    <r>
      <t xml:space="preserve">3. Using a calculated PPA electricity rate applied to a residential customer, the percent of the PPA rate below the avoidable rate was calculated per utility with and without the MEA rebate. </t>
    </r>
    <r>
      <rPr>
        <b/>
        <sz val="11"/>
        <color rgb="FFC00000"/>
        <rFont val="Calibri"/>
        <family val="2"/>
        <scheme val="minor"/>
      </rPr>
      <t xml:space="preserve">The general inputs for the PPA rate (PPA term length, escalator, etc.) are adjustable by MEA </t>
    </r>
    <r>
      <rPr>
        <sz val="11"/>
        <rFont val="Calibri"/>
        <family val="2"/>
        <scheme val="minor"/>
      </rPr>
      <t>in th</t>
    </r>
    <r>
      <rPr>
        <sz val="11"/>
        <color theme="1"/>
        <rFont val="Calibri"/>
        <family val="2"/>
        <scheme val="minor"/>
      </rPr>
      <t xml:space="preserve">e </t>
    </r>
    <r>
      <rPr>
        <b/>
        <sz val="11"/>
        <color theme="9" tint="-0.499984740745262"/>
        <rFont val="Calibri"/>
        <family val="2"/>
        <scheme val="minor"/>
      </rPr>
      <t xml:space="preserve">Financial Inputs and Summary </t>
    </r>
    <r>
      <rPr>
        <sz val="11"/>
        <color theme="1"/>
        <rFont val="Calibri"/>
        <family val="2"/>
        <scheme val="minor"/>
      </rPr>
      <t>tab.</t>
    </r>
  </si>
  <si>
    <r>
      <t xml:space="preserve">4. The highest PPA rate that could be instituted and still meet the 10% and 20% thresholds below the avoidable rate are calculated for reference on the </t>
    </r>
    <r>
      <rPr>
        <b/>
        <sz val="11"/>
        <color theme="9" tint="-0.499984740745262"/>
        <rFont val="Calibri"/>
        <family val="2"/>
        <scheme val="minor"/>
      </rPr>
      <t>Financial Inputs and Summary</t>
    </r>
    <r>
      <rPr>
        <sz val="11"/>
        <color theme="1"/>
        <rFont val="Calibri"/>
        <family val="2"/>
        <scheme val="minor"/>
      </rPr>
      <t xml:space="preserve"> tab.</t>
    </r>
  </si>
  <si>
    <t>Calculating Typical Household Energy Usage and Solar System Generation</t>
  </si>
  <si>
    <r>
      <t>5. The average household energy consumption was collected from NREL's ResStock Data for a single family detached house in Maryland (</t>
    </r>
    <r>
      <rPr>
        <b/>
        <sz val="11"/>
        <color theme="0" tint="-0.499984740745262"/>
        <rFont val="Calibri"/>
        <family val="2"/>
        <scheme val="minor"/>
      </rPr>
      <t>PV Design and Incentives tab, PVWatts_Data tab</t>
    </r>
    <r>
      <rPr>
        <sz val="11"/>
        <color theme="1"/>
        <rFont val="Calibri"/>
        <family val="2"/>
        <scheme val="minor"/>
      </rPr>
      <t xml:space="preserve">). </t>
    </r>
  </si>
  <si>
    <r>
      <t xml:space="preserve">6. The amount of energy generated from a typical residential solar was collected from NREL's PVWatts tool to estimate daily energy generation.  A 10kW [DC] system was assumed as a baseline PV system size and assumptions were made around system specifications. This information is contained in the </t>
    </r>
    <r>
      <rPr>
        <b/>
        <sz val="11"/>
        <color theme="0" tint="-0.499984740745262"/>
        <rFont val="Calibri"/>
        <family val="2"/>
        <scheme val="minor"/>
      </rPr>
      <t>PVWatts_Data</t>
    </r>
    <r>
      <rPr>
        <sz val="11"/>
        <color theme="1"/>
        <rFont val="Calibri"/>
        <family val="2"/>
        <scheme val="minor"/>
      </rPr>
      <t xml:space="preserve"> tab. </t>
    </r>
    <r>
      <rPr>
        <b/>
        <sz val="11"/>
        <color rgb="FFC00000"/>
        <rFont val="Calibri"/>
        <family val="2"/>
        <scheme val="minor"/>
      </rPr>
      <t>The size of the PV system is adjustable by MEA</t>
    </r>
    <r>
      <rPr>
        <sz val="11"/>
        <color theme="1"/>
        <rFont val="Calibri"/>
        <family val="2"/>
        <scheme val="minor"/>
      </rPr>
      <t xml:space="preserve"> in the </t>
    </r>
    <r>
      <rPr>
        <b/>
        <sz val="11"/>
        <color theme="0" tint="-0.499984740745262"/>
        <rFont val="Calibri"/>
        <family val="2"/>
        <scheme val="minor"/>
      </rPr>
      <t>PV Design and Incentives</t>
    </r>
    <r>
      <rPr>
        <sz val="11"/>
        <color theme="1"/>
        <rFont val="Calibri"/>
        <family val="2"/>
        <scheme val="minor"/>
      </rPr>
      <t xml:space="preserve"> tab.</t>
    </r>
  </si>
  <si>
    <r>
      <t xml:space="preserve">7. An estimated cost for a typical PV system was developed using market research, and assumptions were made for savings from incentive including tax credits, SRECs, and the MEA rebate. </t>
    </r>
    <r>
      <rPr>
        <b/>
        <sz val="11"/>
        <color rgb="FFC00000"/>
        <rFont val="Calibri"/>
        <family val="2"/>
        <scheme val="minor"/>
      </rPr>
      <t>These incentives can be toggled on and off or adjusted by MEA in the</t>
    </r>
    <r>
      <rPr>
        <b/>
        <sz val="11"/>
        <color theme="0" tint="-0.499984740745262"/>
        <rFont val="Calibri"/>
        <family val="2"/>
        <scheme val="minor"/>
      </rPr>
      <t xml:space="preserve"> PV Design and Incentives</t>
    </r>
    <r>
      <rPr>
        <b/>
        <sz val="11"/>
        <color rgb="FFC00000"/>
        <rFont val="Calibri"/>
        <family val="2"/>
        <scheme val="minor"/>
      </rPr>
      <t xml:space="preserve"> tab.</t>
    </r>
  </si>
  <si>
    <r>
      <t xml:space="preserve">8. Using the amount of energy a typical household consumes, their standard utility rate+fees, and the amount of electricity generated from a typical PV system calculated in the previous steps, the customer utility electricity cost + fees with and without the installation of solar system are calculated in the </t>
    </r>
    <r>
      <rPr>
        <b/>
        <sz val="11"/>
        <color theme="9" tint="-0.249977111117893"/>
        <rFont val="Calibri"/>
        <family val="2"/>
        <scheme val="minor"/>
      </rPr>
      <t>Financial Inputs and Summary</t>
    </r>
    <r>
      <rPr>
        <sz val="11"/>
        <color theme="1"/>
        <rFont val="Calibri"/>
        <family val="2"/>
        <scheme val="minor"/>
      </rPr>
      <t xml:space="preserve"> tab.</t>
    </r>
  </si>
  <si>
    <t>Cost Benefit Analysis for PPA, Lease, and Loan Owners</t>
  </si>
  <si>
    <r>
      <t xml:space="preserve">8. Financial metrics are also calculated for the system owner of the PPA using metrics such as payback, NPV, IRR, and annualized ROI. These calculations are also located on the </t>
    </r>
    <r>
      <rPr>
        <b/>
        <sz val="11"/>
        <color theme="9" tint="-0.499984740745262"/>
        <rFont val="Calibri"/>
        <family val="2"/>
        <scheme val="minor"/>
      </rPr>
      <t>Financial Inputs and Summary</t>
    </r>
    <r>
      <rPr>
        <sz val="11"/>
        <color theme="1"/>
        <rFont val="Calibri"/>
        <family val="2"/>
        <scheme val="minor"/>
      </rPr>
      <t xml:space="preserve"> tab.</t>
    </r>
  </si>
  <si>
    <t>Calculating the Equivalent Cases: loan, lease and purchase</t>
  </si>
  <si>
    <r>
      <t xml:space="preserve">9. In order to consider the equivalent case for a loan, three loan scenarios were evaluated by altering the following variables: loan term, loan rate, and dealer fee. </t>
    </r>
    <r>
      <rPr>
        <b/>
        <sz val="11"/>
        <color rgb="FFC00000"/>
        <rFont val="Calibri"/>
        <family val="2"/>
        <scheme val="minor"/>
      </rPr>
      <t>These are adjustable by MEA</t>
    </r>
    <r>
      <rPr>
        <sz val="11"/>
        <rFont val="Calibri"/>
        <family val="2"/>
        <scheme val="minor"/>
      </rPr>
      <t xml:space="preserve"> on the</t>
    </r>
    <r>
      <rPr>
        <b/>
        <sz val="11"/>
        <color rgb="FFC00000"/>
        <rFont val="Calibri"/>
        <family val="2"/>
        <scheme val="minor"/>
      </rPr>
      <t xml:space="preserve"> </t>
    </r>
    <r>
      <rPr>
        <b/>
        <sz val="11"/>
        <color theme="9" tint="-0.249977111117893"/>
        <rFont val="Calibri"/>
        <family val="2"/>
        <scheme val="minor"/>
      </rPr>
      <t xml:space="preserve">Financial Inputs and Summary </t>
    </r>
    <r>
      <rPr>
        <sz val="11"/>
        <rFont val="Calibri"/>
        <family val="2"/>
        <scheme val="minor"/>
      </rPr>
      <t>tab.</t>
    </r>
  </si>
  <si>
    <t>10. These loan terms are used to calculate expected payments by case with and without the rebate.</t>
  </si>
  <si>
    <r>
      <t xml:space="preserve">11. Maximum equivalent offers are calculated for each purchasing scenario (lease, loans, and system purchase), maintaining equal lifetime average cost savings. These are summarized in the table above and in the </t>
    </r>
    <r>
      <rPr>
        <b/>
        <sz val="11"/>
        <color theme="9" tint="-0.499984740745262"/>
        <rFont val="Calibri"/>
        <family val="2"/>
        <scheme val="minor"/>
      </rPr>
      <t>Maximum Equivalent Offer</t>
    </r>
    <r>
      <rPr>
        <sz val="11"/>
        <color theme="1"/>
        <rFont val="Calibri"/>
        <family val="2"/>
        <scheme val="minor"/>
      </rPr>
      <t xml:space="preserve"> tab.</t>
    </r>
  </si>
  <si>
    <t>Description of the Tabs in this Workbook</t>
  </si>
  <si>
    <r>
      <rPr>
        <b/>
        <u/>
        <sz val="11"/>
        <color theme="8"/>
        <rFont val="Calibri"/>
        <family val="2"/>
        <scheme val="minor"/>
      </rPr>
      <t>Utility Rate Inputs</t>
    </r>
    <r>
      <rPr>
        <u/>
        <sz val="11"/>
        <color theme="1"/>
        <rFont val="Calibri"/>
        <family val="2"/>
        <scheme val="minor"/>
      </rPr>
      <t xml:space="preserve"> </t>
    </r>
    <r>
      <rPr>
        <sz val="11"/>
        <color theme="1"/>
        <rFont val="Calibri"/>
        <family val="2"/>
        <scheme val="minor"/>
      </rPr>
      <t xml:space="preserve">: This tab contains the current utility rates for the four major utilities in Maryland. </t>
    </r>
    <r>
      <rPr>
        <b/>
        <sz val="11"/>
        <color rgb="FFC00000"/>
        <rFont val="Calibri"/>
        <family val="2"/>
        <scheme val="minor"/>
      </rPr>
      <t xml:space="preserve">These values will need to be updated regularly by MEA. </t>
    </r>
  </si>
  <si>
    <r>
      <rPr>
        <b/>
        <u/>
        <sz val="11"/>
        <color rgb="FF70AD47"/>
        <rFont val="Calibri"/>
        <family val="2"/>
        <scheme val="minor"/>
      </rPr>
      <t xml:space="preserve">Maximum Equivalent Offer </t>
    </r>
    <r>
      <rPr>
        <b/>
        <sz val="11"/>
        <color rgb="FF70AD47"/>
        <rFont val="Calibri"/>
        <family val="2"/>
        <scheme val="minor"/>
      </rPr>
      <t xml:space="preserve">: </t>
    </r>
    <r>
      <rPr>
        <sz val="11"/>
        <color rgb="FF000000"/>
        <rFont val="Calibri"/>
        <family val="2"/>
        <scheme val="minor"/>
      </rPr>
      <t>This tab contains full detailed results regarding the maximum equivalent offer by financing mechanism by utility.</t>
    </r>
    <r>
      <rPr>
        <b/>
        <sz val="11"/>
        <color rgb="FF70AD47"/>
        <rFont val="Calibri"/>
        <family val="2"/>
        <scheme val="minor"/>
      </rPr>
      <t xml:space="preserve"> </t>
    </r>
    <r>
      <rPr>
        <b/>
        <sz val="11"/>
        <color rgb="FFC00000"/>
        <rFont val="Calibri"/>
        <family val="2"/>
        <scheme val="minor"/>
      </rPr>
      <t>To update the results of this tab, a new Goal Seek function would need to be run in Excel.</t>
    </r>
  </si>
  <si>
    <r>
      <rPr>
        <b/>
        <u/>
        <sz val="11"/>
        <color theme="9"/>
        <rFont val="Calibri"/>
        <family val="2"/>
        <scheme val="minor"/>
      </rPr>
      <t xml:space="preserve">Financial Inputs and Summary </t>
    </r>
    <r>
      <rPr>
        <b/>
        <sz val="11"/>
        <color theme="9"/>
        <rFont val="Calibri"/>
        <family val="2"/>
        <scheme val="minor"/>
      </rPr>
      <t xml:space="preserve">: </t>
    </r>
    <r>
      <rPr>
        <sz val="11"/>
        <rFont val="Calibri"/>
        <family val="2"/>
        <scheme val="minor"/>
      </rPr>
      <t>This tab contains full detailed results of the financial analysis by utility. See the table above for high-level results.</t>
    </r>
    <r>
      <rPr>
        <b/>
        <sz val="11"/>
        <color theme="9"/>
        <rFont val="Calibri"/>
        <family val="2"/>
        <scheme val="minor"/>
      </rPr>
      <t xml:space="preserve"> </t>
    </r>
    <r>
      <rPr>
        <b/>
        <sz val="11"/>
        <color rgb="FFC00000"/>
        <rFont val="Calibri"/>
        <family val="2"/>
        <scheme val="minor"/>
      </rPr>
      <t>Financial modeling inputs can be updated on this tab.</t>
    </r>
  </si>
  <si>
    <r>
      <rPr>
        <b/>
        <u/>
        <sz val="11"/>
        <color theme="0" tint="-0.499984740745262"/>
        <rFont val="Calibri"/>
        <family val="2"/>
        <scheme val="minor"/>
      </rPr>
      <t>PV Design and Incentives</t>
    </r>
    <r>
      <rPr>
        <sz val="11"/>
        <color theme="1"/>
        <rFont val="Calibri"/>
        <family val="2"/>
        <scheme val="minor"/>
      </rPr>
      <t xml:space="preserve">: This tab contains "average" PV system capacity and generation specifications based on program requirements, assumed costs, and incentive contributions (tax credits, MEA rebate, SRECs). </t>
    </r>
    <r>
      <rPr>
        <b/>
        <sz val="11"/>
        <color rgb="FFC00000"/>
        <rFont val="Calibri"/>
        <family val="2"/>
        <scheme val="minor"/>
      </rPr>
      <t>This tab need only be updated if data is received regarding assumptions that could improve the accuracy of the financial analysis; this can include updated installation costs, more information on the "average" installation, or updated incentives/benefits for PV installation.</t>
    </r>
  </si>
  <si>
    <r>
      <rPr>
        <b/>
        <sz val="11"/>
        <color theme="0" tint="-0.499984740745262"/>
        <rFont val="Calibri"/>
        <family val="2"/>
        <scheme val="minor"/>
      </rPr>
      <t>PVWatts_Data</t>
    </r>
    <r>
      <rPr>
        <sz val="11"/>
        <color theme="1"/>
        <rFont val="Calibri"/>
        <family val="2"/>
        <scheme val="minor"/>
      </rPr>
      <t>: This tab contains PV performance assumptions, production estimates, and a daily net metering analysis from NREL's PVWatts tool (https://pvwatts.nrel.gov/). This tab should not require updates.</t>
    </r>
  </si>
  <si>
    <t>Tool Rules</t>
  </si>
  <si>
    <t>Cells in yellow throughout the tool are editable by the user.</t>
  </si>
  <si>
    <t>Cells in white are pre-calculated and should not be changed.</t>
  </si>
  <si>
    <t>Comment notes provide further information about methodology and data sources.</t>
  </si>
  <si>
    <t>Loan and System Purchase Equivalent Rate (No Rebate): Average cost per kWh the customer would need to pay to loan or outright purchase their system over the course of the system's assumed life to meet the minimum MEA requirements.</t>
  </si>
  <si>
    <t>Avoidable Rate: Per kWh rate the customer would pay for electricity if it was not generating solar (varies by utility). This is the baseline for the analysis.</t>
  </si>
  <si>
    <t>$/kWh</t>
  </si>
  <si>
    <t>PPA Rate (No Rebate): Per kWh rate the customer is paying the owner for the power their residential system is generating.</t>
  </si>
  <si>
    <t>Lease Equivalent Rate (No Rebate): Per kWh cost the customer is paying to lease their system (a calculation of the first month lease payment/first month generation)</t>
  </si>
  <si>
    <t>PPA Rate (With Rebate): Per kWh rate the customer is paying for the solar their residential system is generating.</t>
  </si>
  <si>
    <t>Lease Equivalent Rate (With Rebate): Per kWh cost the customer is paying to lease their system (a calculation of the first month lease payment/first month generation)</t>
  </si>
  <si>
    <t>Loan and System Purchase Equivalent Rate (With Rebate):  Average cost per kWh the customer is paying to loan or outright purchase their system over the course of the system's assumed life.</t>
  </si>
  <si>
    <r>
      <t xml:space="preserve">Maximum Offer: first year PPA rate
</t>
    </r>
    <r>
      <rPr>
        <u/>
        <sz val="11"/>
        <color theme="1"/>
        <rFont val="Calibri"/>
        <family val="2"/>
        <scheme val="minor"/>
      </rPr>
      <t>without PPA escalator</t>
    </r>
    <r>
      <rPr>
        <sz val="11"/>
        <color theme="1"/>
        <rFont val="Calibri"/>
        <family val="2"/>
        <scheme val="minor"/>
      </rPr>
      <t xml:space="preserve"> ($/kWh) </t>
    </r>
  </si>
  <si>
    <r>
      <t xml:space="preserve">Maximum Offer: first year PPA rate
</t>
    </r>
    <r>
      <rPr>
        <u/>
        <sz val="11"/>
        <color theme="1"/>
        <rFont val="Calibri"/>
        <family val="2"/>
        <scheme val="minor"/>
      </rPr>
      <t>with PPA escalator</t>
    </r>
    <r>
      <rPr>
        <sz val="11"/>
        <color theme="1"/>
        <rFont val="Calibri"/>
        <family val="2"/>
        <scheme val="minor"/>
      </rPr>
      <t xml:space="preserve"> ($/kWh) </t>
    </r>
  </si>
  <si>
    <r>
      <rPr>
        <sz val="11"/>
        <color rgb="FF000000"/>
        <rFont val="Calibri"/>
        <family val="2"/>
        <scheme val="minor"/>
      </rPr>
      <t xml:space="preserve">1. Current utility rates, surcharges, and fees for each of the four major utilities in Maryland were pulled from publicly accessible utility tariffs. Summer and winter rates are blended based on assumed solar production. </t>
    </r>
    <r>
      <rPr>
        <b/>
        <sz val="11"/>
        <color rgb="FFC00000"/>
        <rFont val="Calibri"/>
        <family val="2"/>
        <scheme val="minor"/>
      </rPr>
      <t>These rates are updated within the workbook every 6 months.</t>
    </r>
  </si>
  <si>
    <t>Updated 6/16/2025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</si>
</sst>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0_);\(&quot;$&quot;#,##0.000\)"/>
    <numFmt numFmtId="165" formatCode="_(&quot;$&quot;* #,##0.000_);_(&quot;$&quot;* \(#,##0.000\);_(&quot;$&quot;* &quot;-&quot;??_);_(@_)"/>
    <numFmt numFmtId="166" formatCode="_(&quot;$&quot;* #,##0_);_(&quot;$&quot;* \(#,##0\);_(&quot;$&quot;* &quot;-&quot;??_);_(@_)"/>
    <numFmt numFmtId="167" formatCode="_(&quot;$&quot;* #,##0.000_);_(&quot;$&quot;* \(#,##0.000\);_(&quot;$&quot;* &quot;-&quot;???_);_(@_)"/>
    <numFmt numFmtId="168" formatCode="_(* #,##0_);_(* \(#,##0\);_(* &quot;-&quot;??_);_(@_)"/>
    <numFmt numFmtId="169" formatCode="0.000"/>
    <numFmt numFmtId="170" formatCode="_(&quot;$&quot;* #,##0.0000_);_(&quot;$&quot;* \(#,##0.0000\);_(&quot;$&quot;* &quot;-&quot;??_);_(@_)"/>
    <numFmt numFmtId="171" formatCode="_([$$-409]* #,##0.0000_);_([$$-409]* \(#,##0.0000\);_([$$-409]* &quot;-&quot;??_);_(@_)"/>
    <numFmt numFmtId="172" formatCode="_([$$-409]* #,##0.00_);_([$$-409]* \(#,##0.00\);_([$$-409]* &quot;-&quot;??_);_(@_)"/>
    <numFmt numFmtId="173" formatCode="_([$$-409]* #,##0_);_([$$-409]* \(#,##0\);_([$$-409]* &quot;-&quot;??_);_(@_)"/>
  </numFmts>
  <fonts count="26" x14ac:knownFonts="1">
    <font>
      <sz val="11"/>
      <color theme="1"/>
      <name val="Calibri"/>
      <family val="2"/>
      <scheme val="minor"/>
    </font>
    <font>
      <b/>
      <sz val="11"/>
      <color theme="1"/>
      <name val="Calibri"/>
      <family val="2"/>
      <scheme val="minor"/>
    </font>
    <font>
      <b/>
      <sz val="12"/>
      <name val="Calibri"/>
      <family val="2"/>
      <scheme val="minor"/>
    </font>
    <font>
      <sz val="11"/>
      <color theme="1"/>
      <name val="Calibri"/>
      <family val="2"/>
      <scheme val="minor"/>
    </font>
    <font>
      <sz val="11"/>
      <name val="Calibri"/>
      <family val="2"/>
      <scheme val="minor"/>
    </font>
    <font>
      <b/>
      <sz val="14"/>
      <color theme="1"/>
      <name val="Calibri"/>
      <family val="2"/>
      <scheme val="minor"/>
    </font>
    <font>
      <b/>
      <sz val="11"/>
      <name val="Calibri"/>
      <family val="2"/>
      <scheme val="minor"/>
    </font>
    <font>
      <b/>
      <sz val="14"/>
      <color rgb="FFFF0000"/>
      <name val="Calibri"/>
      <family val="2"/>
      <scheme val="minor"/>
    </font>
    <font>
      <u/>
      <sz val="11"/>
      <color theme="1"/>
      <name val="Calibri"/>
      <family val="2"/>
      <scheme val="minor"/>
    </font>
    <font>
      <b/>
      <sz val="12"/>
      <color theme="1"/>
      <name val="Calibri"/>
      <family val="2"/>
      <scheme val="minor"/>
    </font>
    <font>
      <b/>
      <sz val="16"/>
      <color theme="1"/>
      <name val="Calibri"/>
      <family val="2"/>
      <scheme val="minor"/>
    </font>
    <font>
      <sz val="11"/>
      <color rgb="FF000000"/>
      <name val="Calibri"/>
      <family val="2"/>
      <scheme val="minor"/>
    </font>
    <font>
      <i/>
      <sz val="11"/>
      <color theme="1"/>
      <name val="Calibri"/>
      <family val="2"/>
      <scheme val="minor"/>
    </font>
    <font>
      <b/>
      <sz val="11"/>
      <color rgb="FF000000"/>
      <name val="Calibri"/>
      <family val="2"/>
      <scheme val="minor"/>
    </font>
    <font>
      <b/>
      <sz val="11"/>
      <color rgb="FFC00000"/>
      <name val="Calibri"/>
      <family val="2"/>
      <scheme val="minor"/>
    </font>
    <font>
      <b/>
      <u/>
      <sz val="11"/>
      <color theme="1"/>
      <name val="Calibri"/>
      <family val="2"/>
      <scheme val="minor"/>
    </font>
    <font>
      <b/>
      <sz val="11"/>
      <color theme="9" tint="-0.499984740745262"/>
      <name val="Calibri"/>
      <family val="2"/>
      <scheme val="minor"/>
    </font>
    <font>
      <b/>
      <sz val="11"/>
      <color theme="0" tint="-0.499984740745262"/>
      <name val="Calibri"/>
      <family val="2"/>
      <scheme val="minor"/>
    </font>
    <font>
      <b/>
      <sz val="11"/>
      <color theme="9" tint="-0.249977111117893"/>
      <name val="Calibri"/>
      <family val="2"/>
      <scheme val="minor"/>
    </font>
    <font>
      <b/>
      <u/>
      <sz val="11"/>
      <color theme="8"/>
      <name val="Calibri"/>
      <family val="2"/>
      <scheme val="minor"/>
    </font>
    <font>
      <b/>
      <sz val="11"/>
      <color theme="9"/>
      <name val="Calibri"/>
      <family val="2"/>
      <scheme val="minor"/>
    </font>
    <font>
      <b/>
      <u/>
      <sz val="11"/>
      <color rgb="FF70AD47"/>
      <name val="Calibri"/>
      <family val="2"/>
      <scheme val="minor"/>
    </font>
    <font>
      <b/>
      <sz val="11"/>
      <color rgb="FF70AD47"/>
      <name val="Calibri"/>
      <family val="2"/>
      <scheme val="minor"/>
    </font>
    <font>
      <b/>
      <u/>
      <sz val="11"/>
      <color theme="9"/>
      <name val="Calibri"/>
      <family val="2"/>
      <scheme val="minor"/>
    </font>
    <font>
      <b/>
      <u/>
      <sz val="11"/>
      <color theme="0" tint="-0.499984740745262"/>
      <name val="Calibri"/>
      <family val="2"/>
      <scheme val="minor"/>
    </font>
    <font>
      <b/>
      <sz val="12"/>
      <color theme="4"/>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theme="2"/>
        <bgColor indexed="64"/>
      </patternFill>
    </fill>
  </fills>
  <borders count="53">
    <border>
      <left/>
      <right/>
      <top/>
      <bottom/>
      <diagonal/>
    </border>
    <border>
      <left style="thin">
        <color auto="1"/>
      </left>
      <right style="thin">
        <color auto="1"/>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style="thin">
        <color auto="1"/>
      </left>
      <right/>
      <top style="medium">
        <color indexed="64"/>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auto="1"/>
      </top>
      <bottom style="thin">
        <color auto="1"/>
      </bottom>
      <diagonal/>
    </border>
    <border>
      <left/>
      <right style="thin">
        <color indexed="64"/>
      </right>
      <top style="thin">
        <color auto="1"/>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thick">
        <color theme="4"/>
      </bottom>
      <diagonal/>
    </border>
    <border>
      <left/>
      <right/>
      <top style="thin">
        <color auto="1"/>
      </top>
      <bottom style="thin">
        <color auto="1"/>
      </bottom>
      <diagonal/>
    </border>
    <border>
      <left style="thin">
        <color indexed="64"/>
      </left>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right/>
      <top/>
      <bottom style="thin">
        <color auto="1"/>
      </bottom>
      <diagonal/>
    </border>
    <border>
      <left/>
      <right/>
      <top/>
      <bottom style="medium">
        <color indexed="64"/>
      </bottom>
      <diagonal/>
    </border>
    <border>
      <left/>
      <right/>
      <top/>
      <bottom style="mediumDashed">
        <color indexed="64"/>
      </bottom>
      <diagonal/>
    </border>
    <border>
      <left/>
      <right/>
      <top style="medium">
        <color indexed="64"/>
      </top>
      <bottom style="medium">
        <color indexed="64"/>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259">
    <xf numFmtId="0" fontId="0" fillId="0" borderId="0" xfId="0"/>
    <xf numFmtId="0" fontId="0" fillId="0" borderId="0" xfId="0" applyAlignment="1">
      <alignment horizontal="center"/>
    </xf>
    <xf numFmtId="0" fontId="0" fillId="0" borderId="3" xfId="0" applyBorder="1"/>
    <xf numFmtId="0" fontId="1" fillId="6" borderId="7" xfId="0" applyFont="1" applyFill="1" applyBorder="1" applyAlignment="1">
      <alignment horizontal="center"/>
    </xf>
    <xf numFmtId="8" fontId="0" fillId="0" borderId="0" xfId="0" applyNumberFormat="1"/>
    <xf numFmtId="0" fontId="4" fillId="0" borderId="0" xfId="0" applyFont="1"/>
    <xf numFmtId="0" fontId="5" fillId="0" borderId="0" xfId="0" applyFont="1"/>
    <xf numFmtId="0" fontId="2" fillId="3" borderId="7" xfId="0" applyFont="1" applyFill="1" applyBorder="1"/>
    <xf numFmtId="0" fontId="2" fillId="3" borderId="4" xfId="0" applyFont="1" applyFill="1" applyBorder="1"/>
    <xf numFmtId="0" fontId="0" fillId="0" borderId="3" xfId="0" applyBorder="1" applyAlignment="1">
      <alignment vertical="center"/>
    </xf>
    <xf numFmtId="0" fontId="0" fillId="0" borderId="5" xfId="0" applyBorder="1" applyAlignment="1">
      <alignment vertical="center"/>
    </xf>
    <xf numFmtId="0" fontId="6" fillId="0" borderId="3" xfId="0" applyFont="1" applyBorder="1" applyAlignment="1">
      <alignment horizontal="center"/>
    </xf>
    <xf numFmtId="0" fontId="6" fillId="0" borderId="6" xfId="0" applyFont="1" applyBorder="1" applyAlignment="1">
      <alignment horizontal="center"/>
    </xf>
    <xf numFmtId="0" fontId="1" fillId="7" borderId="7" xfId="0" applyFont="1" applyFill="1" applyBorder="1" applyAlignment="1">
      <alignment horizontal="center" wrapText="1"/>
    </xf>
    <xf numFmtId="0" fontId="1" fillId="7" borderId="10" xfId="0" applyFont="1" applyFill="1" applyBorder="1" applyAlignment="1">
      <alignment horizontal="center" wrapText="1"/>
    </xf>
    <xf numFmtId="0" fontId="1" fillId="2" borderId="13" xfId="0" applyFont="1" applyFill="1" applyBorder="1" applyAlignment="1">
      <alignment horizontal="center" wrapText="1"/>
    </xf>
    <xf numFmtId="0" fontId="0" fillId="8" borderId="17" xfId="0" applyFill="1" applyBorder="1"/>
    <xf numFmtId="6" fontId="0" fillId="0" borderId="0" xfId="0" applyNumberFormat="1" applyAlignment="1">
      <alignment horizontal="center"/>
    </xf>
    <xf numFmtId="5" fontId="0" fillId="0" borderId="0" xfId="0" applyNumberFormat="1"/>
    <xf numFmtId="8" fontId="0" fillId="0" borderId="0" xfId="0" applyNumberFormat="1" applyAlignment="1">
      <alignment horizontal="center"/>
    </xf>
    <xf numFmtId="167" fontId="0" fillId="0" borderId="0" xfId="0" applyNumberFormat="1"/>
    <xf numFmtId="44" fontId="0" fillId="0" borderId="0" xfId="0" applyNumberFormat="1"/>
    <xf numFmtId="6" fontId="0" fillId="0" borderId="0" xfId="0" applyNumberFormat="1"/>
    <xf numFmtId="165" fontId="0" fillId="0" borderId="0" xfId="0" applyNumberFormat="1"/>
    <xf numFmtId="0" fontId="1" fillId="0" borderId="0" xfId="0" applyFont="1"/>
    <xf numFmtId="0" fontId="7" fillId="0" borderId="0" xfId="0" applyFont="1" applyAlignment="1">
      <alignment horizontal="center"/>
    </xf>
    <xf numFmtId="0" fontId="7" fillId="0" borderId="0" xfId="0" applyFont="1"/>
    <xf numFmtId="0" fontId="4" fillId="0" borderId="0" xfId="0" applyFont="1" applyAlignment="1">
      <alignment horizontal="center"/>
    </xf>
    <xf numFmtId="0" fontId="1" fillId="0" borderId="0" xfId="0" applyFont="1" applyAlignment="1">
      <alignment horizontal="center"/>
    </xf>
    <xf numFmtId="0" fontId="0" fillId="0" borderId="0" xfId="0" applyAlignment="1">
      <alignment vertical="top" wrapText="1"/>
    </xf>
    <xf numFmtId="0" fontId="1" fillId="5" borderId="4" xfId="0" applyFont="1" applyFill="1" applyBorder="1" applyAlignment="1">
      <alignment horizontal="center" wrapText="1"/>
    </xf>
    <xf numFmtId="6" fontId="1" fillId="9" borderId="5" xfId="0" applyNumberFormat="1" applyFont="1" applyFill="1" applyBorder="1"/>
    <xf numFmtId="6" fontId="1" fillId="9" borderId="8" xfId="0" applyNumberFormat="1" applyFont="1" applyFill="1" applyBorder="1"/>
    <xf numFmtId="0" fontId="0" fillId="10" borderId="6" xfId="0" applyFill="1" applyBorder="1" applyAlignment="1">
      <alignment horizontal="right"/>
    </xf>
    <xf numFmtId="0" fontId="0" fillId="0" borderId="3" xfId="0" applyBorder="1" applyAlignment="1">
      <alignment horizontal="center"/>
    </xf>
    <xf numFmtId="5" fontId="0" fillId="0" borderId="3" xfId="0" applyNumberFormat="1" applyBorder="1" applyAlignment="1">
      <alignment horizontal="right"/>
    </xf>
    <xf numFmtId="0" fontId="0" fillId="0" borderId="14" xfId="0" applyBorder="1" applyAlignment="1">
      <alignment horizontal="right"/>
    </xf>
    <xf numFmtId="0" fontId="0" fillId="0" borderId="16" xfId="0" applyBorder="1"/>
    <xf numFmtId="5" fontId="0" fillId="0" borderId="6" xfId="0" applyNumberFormat="1" applyBorder="1" applyAlignment="1">
      <alignment horizontal="right"/>
    </xf>
    <xf numFmtId="0" fontId="4" fillId="0" borderId="3" xfId="0" applyFont="1" applyBorder="1" applyAlignment="1">
      <alignment horizontal="center"/>
    </xf>
    <xf numFmtId="5" fontId="4" fillId="0" borderId="3" xfId="0" applyNumberFormat="1" applyFont="1" applyBorder="1"/>
    <xf numFmtId="5" fontId="0" fillId="0" borderId="11" xfId="0" applyNumberFormat="1" applyBorder="1"/>
    <xf numFmtId="1" fontId="4" fillId="0" borderId="14" xfId="0" applyNumberFormat="1" applyFont="1" applyBorder="1" applyAlignment="1">
      <alignment horizontal="right"/>
    </xf>
    <xf numFmtId="164" fontId="4" fillId="0" borderId="6" xfId="0" applyNumberFormat="1" applyFont="1" applyBorder="1" applyAlignment="1">
      <alignment horizontal="right"/>
    </xf>
    <xf numFmtId="1" fontId="0" fillId="0" borderId="14" xfId="0" applyNumberFormat="1" applyBorder="1" applyAlignment="1">
      <alignment horizontal="right"/>
    </xf>
    <xf numFmtId="164" fontId="0" fillId="0" borderId="6" xfId="0" applyNumberFormat="1" applyBorder="1" applyAlignment="1">
      <alignment horizontal="right"/>
    </xf>
    <xf numFmtId="0" fontId="4" fillId="0" borderId="16" xfId="0" applyFont="1" applyBorder="1"/>
    <xf numFmtId="0" fontId="0" fillId="0" borderId="5" xfId="0" applyBorder="1" applyAlignment="1">
      <alignment horizontal="center"/>
    </xf>
    <xf numFmtId="5" fontId="4" fillId="0" borderId="5" xfId="0" applyNumberFormat="1" applyFont="1" applyBorder="1"/>
    <xf numFmtId="5" fontId="0" fillId="0" borderId="12" xfId="0" applyNumberFormat="1" applyBorder="1"/>
    <xf numFmtId="0" fontId="4" fillId="0" borderId="18" xfId="0" applyFont="1" applyBorder="1"/>
    <xf numFmtId="1" fontId="0" fillId="0" borderId="15" xfId="0" applyNumberFormat="1" applyBorder="1" applyAlignment="1">
      <alignment horizontal="right"/>
    </xf>
    <xf numFmtId="164" fontId="0" fillId="0" borderId="8" xfId="0" applyNumberFormat="1" applyBorder="1" applyAlignment="1">
      <alignment horizontal="right"/>
    </xf>
    <xf numFmtId="10" fontId="0" fillId="10" borderId="6" xfId="0" applyNumberFormat="1" applyFill="1" applyBorder="1" applyAlignment="1">
      <alignment horizontal="right"/>
    </xf>
    <xf numFmtId="0" fontId="0" fillId="0" borderId="0" xfId="0" applyAlignment="1">
      <alignment wrapText="1"/>
    </xf>
    <xf numFmtId="0" fontId="0" fillId="0" borderId="2" xfId="0" applyBorder="1"/>
    <xf numFmtId="169" fontId="0" fillId="0" borderId="0" xfId="0" applyNumberFormat="1"/>
    <xf numFmtId="0" fontId="0" fillId="0" borderId="0" xfId="0" applyAlignment="1">
      <alignment horizontal="left" wrapText="1"/>
    </xf>
    <xf numFmtId="10" fontId="0" fillId="10" borderId="8" xfId="1" applyNumberFormat="1" applyFont="1" applyFill="1" applyBorder="1" applyAlignment="1">
      <alignment horizontal="right"/>
    </xf>
    <xf numFmtId="165" fontId="0" fillId="5" borderId="6" xfId="0" applyNumberFormat="1" applyFill="1" applyBorder="1"/>
    <xf numFmtId="0" fontId="0" fillId="0" borderId="3" xfId="0" applyBorder="1" applyAlignment="1">
      <alignment wrapText="1"/>
    </xf>
    <xf numFmtId="8" fontId="0" fillId="0" borderId="3" xfId="0" applyNumberFormat="1" applyBorder="1"/>
    <xf numFmtId="0" fontId="0" fillId="0" borderId="7" xfId="0" applyBorder="1" applyAlignment="1">
      <alignment wrapText="1"/>
    </xf>
    <xf numFmtId="0" fontId="0" fillId="0" borderId="5" xfId="0" applyBorder="1" applyAlignment="1">
      <alignment wrapText="1"/>
    </xf>
    <xf numFmtId="0" fontId="0" fillId="0" borderId="5" xfId="0" applyBorder="1"/>
    <xf numFmtId="44" fontId="1" fillId="5" borderId="4" xfId="0" applyNumberFormat="1" applyFont="1" applyFill="1" applyBorder="1"/>
    <xf numFmtId="0" fontId="1" fillId="0" borderId="5" xfId="0" applyFont="1" applyBorder="1" applyAlignment="1">
      <alignment wrapText="1"/>
    </xf>
    <xf numFmtId="44" fontId="1" fillId="5" borderId="8" xfId="0" applyNumberFormat="1" applyFont="1" applyFill="1" applyBorder="1"/>
    <xf numFmtId="0" fontId="1" fillId="0" borderId="7" xfId="0" applyFont="1" applyBorder="1"/>
    <xf numFmtId="0" fontId="1" fillId="0" borderId="1" xfId="0" applyFont="1" applyBorder="1" applyAlignment="1">
      <alignment horizontal="center" wrapText="1"/>
    </xf>
    <xf numFmtId="0" fontId="1" fillId="0" borderId="4" xfId="0" applyFont="1" applyBorder="1" applyAlignment="1">
      <alignment horizontal="center" wrapText="1"/>
    </xf>
    <xf numFmtId="0" fontId="1" fillId="0" borderId="28" xfId="0" applyFont="1" applyBorder="1"/>
    <xf numFmtId="0" fontId="0" fillId="0" borderId="25" xfId="0" applyBorder="1"/>
    <xf numFmtId="0" fontId="0" fillId="0" borderId="26" xfId="0" applyBorder="1"/>
    <xf numFmtId="0" fontId="1" fillId="0" borderId="24" xfId="0" applyFont="1" applyBorder="1"/>
    <xf numFmtId="0" fontId="10" fillId="12" borderId="0" xfId="0" applyFont="1" applyFill="1" applyAlignment="1">
      <alignment vertical="center"/>
    </xf>
    <xf numFmtId="0" fontId="0" fillId="12" borderId="0" xfId="0" applyFill="1"/>
    <xf numFmtId="0" fontId="0" fillId="13" borderId="0" xfId="0" applyFill="1" applyAlignment="1">
      <alignment wrapText="1"/>
    </xf>
    <xf numFmtId="0" fontId="0" fillId="13" borderId="0" xfId="0" applyFill="1"/>
    <xf numFmtId="0" fontId="0" fillId="13" borderId="0" xfId="0" applyFill="1" applyAlignment="1">
      <alignment horizontal="left" indent="3"/>
    </xf>
    <xf numFmtId="0" fontId="0" fillId="13" borderId="0" xfId="0" applyFill="1" applyAlignment="1">
      <alignment horizontal="left" wrapText="1"/>
    </xf>
    <xf numFmtId="0" fontId="9" fillId="13" borderId="0" xfId="0" applyFont="1" applyFill="1" applyAlignment="1">
      <alignment horizontal="center"/>
    </xf>
    <xf numFmtId="0" fontId="1" fillId="13" borderId="0" xfId="0" applyFont="1" applyFill="1" applyAlignment="1">
      <alignment horizontal="right"/>
    </xf>
    <xf numFmtId="0" fontId="0" fillId="13" borderId="0" xfId="0" applyFill="1" applyAlignment="1">
      <alignment horizontal="right"/>
    </xf>
    <xf numFmtId="0" fontId="1" fillId="13" borderId="2" xfId="0" applyFont="1" applyFill="1" applyBorder="1" applyAlignment="1">
      <alignment horizontal="center"/>
    </xf>
    <xf numFmtId="170" fontId="0" fillId="13" borderId="2" xfId="0" applyNumberFormat="1" applyFill="1" applyBorder="1" applyAlignment="1">
      <alignment horizontal="center"/>
    </xf>
    <xf numFmtId="0" fontId="1" fillId="14" borderId="36" xfId="0" applyFont="1" applyFill="1" applyBorder="1" applyAlignment="1">
      <alignment horizontal="center"/>
    </xf>
    <xf numFmtId="0" fontId="1" fillId="14" borderId="37" xfId="0" applyFont="1" applyFill="1" applyBorder="1" applyAlignment="1">
      <alignment horizontal="center"/>
    </xf>
    <xf numFmtId="0" fontId="11" fillId="13" borderId="38" xfId="0" applyFont="1" applyFill="1" applyBorder="1" applyAlignment="1">
      <alignment horizontal="left"/>
    </xf>
    <xf numFmtId="0" fontId="11" fillId="13" borderId="39" xfId="0" applyFont="1" applyFill="1" applyBorder="1" applyAlignment="1">
      <alignment horizontal="left"/>
    </xf>
    <xf numFmtId="0" fontId="11" fillId="13" borderId="40" xfId="0" applyFont="1" applyFill="1" applyBorder="1" applyAlignment="1">
      <alignment horizontal="left"/>
    </xf>
    <xf numFmtId="171" fontId="11" fillId="13" borderId="37" xfId="0" applyNumberFormat="1" applyFont="1" applyFill="1" applyBorder="1"/>
    <xf numFmtId="171" fontId="0" fillId="13" borderId="37" xfId="0" applyNumberFormat="1" applyFill="1" applyBorder="1"/>
    <xf numFmtId="0" fontId="11" fillId="13" borderId="41" xfId="0" applyFont="1" applyFill="1" applyBorder="1" applyAlignment="1">
      <alignment horizontal="left"/>
    </xf>
    <xf numFmtId="0" fontId="11" fillId="13" borderId="42" xfId="0" applyFont="1" applyFill="1" applyBorder="1" applyAlignment="1">
      <alignment horizontal="left"/>
    </xf>
    <xf numFmtId="9" fontId="11" fillId="13" borderId="43" xfId="0" applyNumberFormat="1" applyFont="1" applyFill="1" applyBorder="1"/>
    <xf numFmtId="9" fontId="0" fillId="13" borderId="43" xfId="0" applyNumberFormat="1" applyFill="1" applyBorder="1"/>
    <xf numFmtId="166" fontId="11" fillId="13" borderId="43" xfId="0" applyNumberFormat="1" applyFont="1" applyFill="1" applyBorder="1"/>
    <xf numFmtId="0" fontId="11" fillId="13" borderId="0" xfId="0" applyFont="1" applyFill="1" applyAlignment="1">
      <alignment horizontal="left"/>
    </xf>
    <xf numFmtId="166" fontId="11" fillId="13" borderId="0" xfId="0" applyNumberFormat="1" applyFont="1" applyFill="1"/>
    <xf numFmtId="0" fontId="1" fillId="14" borderId="40" xfId="0" applyFont="1" applyFill="1" applyBorder="1" applyAlignment="1">
      <alignment horizontal="center"/>
    </xf>
    <xf numFmtId="0" fontId="1" fillId="14" borderId="43" xfId="0" applyFont="1" applyFill="1" applyBorder="1" applyAlignment="1">
      <alignment horizontal="center"/>
    </xf>
    <xf numFmtId="0" fontId="0" fillId="13" borderId="38" xfId="0" applyFill="1" applyBorder="1" applyAlignment="1">
      <alignment horizontal="left"/>
    </xf>
    <xf numFmtId="0" fontId="0" fillId="13" borderId="39" xfId="0" applyFill="1" applyBorder="1" applyAlignment="1">
      <alignment horizontal="left"/>
    </xf>
    <xf numFmtId="0" fontId="0" fillId="13" borderId="42" xfId="0" applyFill="1" applyBorder="1" applyAlignment="1">
      <alignment horizontal="left"/>
    </xf>
    <xf numFmtId="172" fontId="11" fillId="13" borderId="37" xfId="0" applyNumberFormat="1" applyFont="1" applyFill="1" applyBorder="1"/>
    <xf numFmtId="0" fontId="0" fillId="13" borderId="41" xfId="0" applyFill="1" applyBorder="1" applyAlignment="1">
      <alignment horizontal="left"/>
    </xf>
    <xf numFmtId="0" fontId="0" fillId="13" borderId="46" xfId="0" applyFill="1" applyBorder="1" applyAlignment="1">
      <alignment horizontal="left"/>
    </xf>
    <xf numFmtId="0" fontId="0" fillId="13" borderId="47" xfId="0" applyFill="1" applyBorder="1" applyAlignment="1">
      <alignment horizontal="left"/>
    </xf>
    <xf numFmtId="173" fontId="11" fillId="13" borderId="48" xfId="0" applyNumberFormat="1" applyFont="1" applyFill="1" applyBorder="1"/>
    <xf numFmtId="173" fontId="11" fillId="13" borderId="37" xfId="0" applyNumberFormat="1" applyFont="1" applyFill="1" applyBorder="1"/>
    <xf numFmtId="0" fontId="14" fillId="13" borderId="0" xfId="0" applyFont="1" applyFill="1"/>
    <xf numFmtId="0" fontId="15" fillId="13" borderId="0" xfId="0" applyFont="1" applyFill="1" applyAlignment="1">
      <alignment horizontal="left"/>
    </xf>
    <xf numFmtId="0" fontId="0" fillId="13" borderId="0" xfId="0" applyFill="1" applyAlignment="1">
      <alignment horizontal="left" vertical="top" wrapText="1"/>
    </xf>
    <xf numFmtId="0" fontId="0" fillId="2" borderId="11" xfId="0" applyFill="1" applyBorder="1"/>
    <xf numFmtId="0" fontId="0" fillId="2" borderId="34" xfId="0" applyFill="1" applyBorder="1"/>
    <xf numFmtId="0" fontId="0" fillId="2" borderId="14" xfId="0" applyFill="1" applyBorder="1"/>
    <xf numFmtId="0" fontId="0" fillId="13" borderId="11" xfId="0" applyFill="1" applyBorder="1"/>
    <xf numFmtId="0" fontId="0" fillId="13" borderId="34" xfId="0" applyFill="1" applyBorder="1"/>
    <xf numFmtId="0" fontId="0" fillId="13" borderId="14" xfId="0" applyFill="1" applyBorder="1"/>
    <xf numFmtId="0" fontId="0" fillId="13" borderId="0" xfId="0" applyFill="1" applyAlignment="1">
      <alignment horizontal="left"/>
    </xf>
    <xf numFmtId="0" fontId="1" fillId="13" borderId="50" xfId="0" applyFont="1" applyFill="1" applyBorder="1"/>
    <xf numFmtId="0" fontId="0" fillId="13" borderId="50" xfId="0" applyFill="1" applyBorder="1"/>
    <xf numFmtId="0" fontId="25" fillId="13" borderId="33" xfId="0" applyFont="1" applyFill="1" applyBorder="1"/>
    <xf numFmtId="0" fontId="0" fillId="13" borderId="33" xfId="0" applyFill="1" applyBorder="1"/>
    <xf numFmtId="0" fontId="0" fillId="13" borderId="51" xfId="0" applyFill="1" applyBorder="1"/>
    <xf numFmtId="0" fontId="1" fillId="13" borderId="0" xfId="0" applyFont="1" applyFill="1"/>
    <xf numFmtId="0" fontId="1" fillId="13" borderId="52" xfId="0" applyFont="1" applyFill="1" applyBorder="1"/>
    <xf numFmtId="0" fontId="0" fillId="13" borderId="52" xfId="0" applyFill="1" applyBorder="1"/>
    <xf numFmtId="0" fontId="0" fillId="0" borderId="2" xfId="0" applyBorder="1" applyAlignment="1">
      <alignment wrapText="1"/>
    </xf>
    <xf numFmtId="169" fontId="0" fillId="0" borderId="2" xfId="0" applyNumberFormat="1" applyBorder="1" applyAlignment="1">
      <alignment horizontal="center"/>
    </xf>
    <xf numFmtId="169" fontId="0" fillId="0" borderId="2" xfId="0" applyNumberFormat="1" applyBorder="1"/>
    <xf numFmtId="169" fontId="0" fillId="0" borderId="6" xfId="0" applyNumberFormat="1" applyBorder="1"/>
    <xf numFmtId="169" fontId="0" fillId="0" borderId="9" xfId="0" applyNumberFormat="1" applyBorder="1"/>
    <xf numFmtId="169" fontId="0" fillId="0" borderId="8" xfId="0" applyNumberFormat="1" applyBorder="1"/>
    <xf numFmtId="0" fontId="1" fillId="0" borderId="2" xfId="0" applyFont="1" applyBorder="1" applyAlignment="1">
      <alignment horizontal="center" vertical="center" wrapText="1"/>
    </xf>
    <xf numFmtId="0" fontId="0" fillId="13" borderId="2" xfId="0" applyFill="1" applyBorder="1" applyAlignment="1">
      <alignment horizontal="left" vertical="top" wrapText="1"/>
    </xf>
    <xf numFmtId="0" fontId="9" fillId="14" borderId="0" xfId="0" applyFont="1" applyFill="1" applyAlignment="1">
      <alignment horizontal="center"/>
    </xf>
    <xf numFmtId="0" fontId="0" fillId="13" borderId="0" xfId="0" applyFill="1" applyAlignment="1">
      <alignment horizontal="left" vertical="top" wrapText="1"/>
    </xf>
    <xf numFmtId="0" fontId="9" fillId="14" borderId="49" xfId="0" applyFont="1" applyFill="1" applyBorder="1" applyAlignment="1">
      <alignment horizontal="center"/>
    </xf>
    <xf numFmtId="0" fontId="20" fillId="13" borderId="2" xfId="0" applyFont="1" applyFill="1" applyBorder="1" applyAlignment="1">
      <alignment horizontal="left" vertical="top" wrapText="1"/>
    </xf>
    <xf numFmtId="0" fontId="1" fillId="14" borderId="35" xfId="0" applyFont="1" applyFill="1" applyBorder="1" applyAlignment="1">
      <alignment horizontal="center"/>
    </xf>
    <xf numFmtId="0" fontId="0" fillId="13" borderId="0" xfId="0" applyFill="1" applyAlignment="1">
      <alignment horizontal="left" vertical="top"/>
    </xf>
    <xf numFmtId="0" fontId="13" fillId="14" borderId="11" xfId="0" applyFont="1" applyFill="1" applyBorder="1" applyAlignment="1">
      <alignment horizontal="center"/>
    </xf>
    <xf numFmtId="0" fontId="13" fillId="14" borderId="44" xfId="0" applyFont="1" applyFill="1" applyBorder="1" applyAlignment="1">
      <alignment horizontal="center"/>
    </xf>
    <xf numFmtId="0" fontId="13" fillId="14" borderId="45" xfId="0" applyFont="1" applyFill="1" applyBorder="1" applyAlignment="1">
      <alignment horizontal="center"/>
    </xf>
    <xf numFmtId="0" fontId="11" fillId="13" borderId="0" xfId="0" applyFont="1" applyFill="1" applyAlignment="1">
      <alignment horizontal="left" vertical="top" wrapText="1"/>
    </xf>
    <xf numFmtId="0" fontId="11" fillId="13" borderId="0" xfId="0" applyFont="1" applyFill="1" applyAlignment="1">
      <alignment horizontal="left" wrapText="1" indent="3"/>
    </xf>
    <xf numFmtId="0" fontId="0" fillId="13" borderId="0" xfId="0" applyFill="1" applyAlignment="1">
      <alignment horizontal="left" wrapText="1"/>
    </xf>
    <xf numFmtId="0" fontId="13" fillId="8" borderId="2" xfId="0" applyFont="1" applyFill="1" applyBorder="1" applyAlignment="1">
      <alignment horizontal="center"/>
    </xf>
    <xf numFmtId="0" fontId="1" fillId="14" borderId="11" xfId="0" applyFont="1" applyFill="1" applyBorder="1" applyAlignment="1">
      <alignment horizontal="center"/>
    </xf>
    <xf numFmtId="0" fontId="1" fillId="14" borderId="34" xfId="0" applyFont="1" applyFill="1" applyBorder="1" applyAlignment="1">
      <alignment horizontal="center"/>
    </xf>
    <xf numFmtId="0" fontId="1" fillId="14" borderId="14" xfId="0" applyFont="1" applyFill="1" applyBorder="1" applyAlignment="1">
      <alignment horizontal="center"/>
    </xf>
    <xf numFmtId="0" fontId="9" fillId="5" borderId="29" xfId="0" applyFont="1" applyFill="1" applyBorder="1" applyAlignment="1">
      <alignment horizontal="center" vertical="center"/>
    </xf>
    <xf numFmtId="0" fontId="9" fillId="5" borderId="30"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31" xfId="0" applyFont="1" applyFill="1" applyBorder="1" applyAlignment="1">
      <alignment horizontal="center" vertical="center"/>
    </xf>
    <xf numFmtId="0" fontId="1" fillId="7" borderId="21" xfId="0" applyFont="1" applyFill="1" applyBorder="1" applyAlignment="1">
      <alignment horizontal="center" wrapText="1"/>
    </xf>
    <xf numFmtId="0" fontId="1" fillId="7" borderId="22" xfId="0" applyFont="1" applyFill="1" applyBorder="1" applyAlignment="1">
      <alignment horizontal="center" wrapText="1"/>
    </xf>
    <xf numFmtId="0" fontId="1" fillId="0" borderId="0" xfId="0" applyFont="1" applyAlignment="1">
      <alignment horizontal="center"/>
    </xf>
    <xf numFmtId="0" fontId="0" fillId="4" borderId="6" xfId="0" applyFill="1" applyBorder="1" applyAlignment="1" applyProtection="1">
      <alignment horizontal="center"/>
      <protection locked="0"/>
    </xf>
    <xf numFmtId="168" fontId="0" fillId="4" borderId="6" xfId="2" applyNumberFormat="1" applyFont="1" applyFill="1" applyBorder="1" applyAlignment="1" applyProtection="1">
      <alignment horizontal="right"/>
      <protection locked="0"/>
    </xf>
    <xf numFmtId="0" fontId="0" fillId="4" borderId="6" xfId="0" applyFill="1" applyBorder="1" applyAlignment="1" applyProtection="1">
      <alignment horizontal="center" vertical="center"/>
      <protection locked="0"/>
    </xf>
    <xf numFmtId="165" fontId="0" fillId="4" borderId="6" xfId="0" applyNumberFormat="1" applyFill="1" applyBorder="1" applyAlignment="1" applyProtection="1">
      <alignment horizontal="right"/>
      <protection locked="0"/>
    </xf>
    <xf numFmtId="166" fontId="0" fillId="4" borderId="6" xfId="0" applyNumberFormat="1" applyFill="1" applyBorder="1" applyProtection="1">
      <protection locked="0"/>
    </xf>
    <xf numFmtId="166" fontId="0" fillId="4" borderId="8" xfId="0" applyNumberFormat="1" applyFill="1" applyBorder="1" applyProtection="1">
      <protection locked="0"/>
    </xf>
    <xf numFmtId="165" fontId="0" fillId="5" borderId="6" xfId="0" applyNumberFormat="1" applyFill="1" applyBorder="1" applyProtection="1"/>
    <xf numFmtId="10" fontId="0" fillId="4" borderId="6" xfId="1" applyNumberFormat="1" applyFont="1" applyFill="1" applyBorder="1" applyAlignment="1" applyProtection="1">
      <alignment horizontal="right"/>
      <protection locked="0"/>
    </xf>
    <xf numFmtId="44" fontId="0" fillId="4" borderId="8" xfId="0" applyNumberFormat="1" applyFill="1" applyBorder="1" applyAlignment="1" applyProtection="1">
      <alignment horizontal="right"/>
      <protection locked="0"/>
    </xf>
    <xf numFmtId="0" fontId="7" fillId="0" borderId="0" xfId="0" applyFont="1" applyAlignment="1" applyProtection="1">
      <alignment horizontal="center"/>
    </xf>
    <xf numFmtId="0" fontId="0" fillId="0" borderId="0" xfId="0" applyProtection="1"/>
    <xf numFmtId="0" fontId="0" fillId="0" borderId="3" xfId="0" applyBorder="1" applyAlignment="1" applyProtection="1">
      <alignment horizontal="center"/>
    </xf>
    <xf numFmtId="5" fontId="4" fillId="0" borderId="3" xfId="0" applyNumberFormat="1" applyFont="1" applyBorder="1" applyProtection="1"/>
    <xf numFmtId="0" fontId="0" fillId="0" borderId="16" xfId="0" applyBorder="1" applyProtection="1"/>
    <xf numFmtId="1" fontId="0" fillId="0" borderId="14" xfId="0" applyNumberFormat="1" applyBorder="1" applyAlignment="1" applyProtection="1">
      <alignment horizontal="right"/>
    </xf>
    <xf numFmtId="164" fontId="0" fillId="0" borderId="6" xfId="0" applyNumberFormat="1" applyBorder="1" applyAlignment="1" applyProtection="1">
      <alignment horizontal="right"/>
    </xf>
    <xf numFmtId="0" fontId="1" fillId="0" borderId="7" xfId="0" applyFont="1" applyBorder="1" applyAlignment="1" applyProtection="1">
      <alignment wrapText="1"/>
    </xf>
    <xf numFmtId="165" fontId="1" fillId="5" borderId="4" xfId="0" applyNumberFormat="1" applyFont="1" applyFill="1" applyBorder="1" applyProtection="1"/>
    <xf numFmtId="0" fontId="4" fillId="0" borderId="3" xfId="0" applyFont="1" applyBorder="1" applyAlignment="1" applyProtection="1">
      <alignment horizontal="center"/>
    </xf>
    <xf numFmtId="0" fontId="1" fillId="0" borderId="5" xfId="0" applyFont="1" applyBorder="1" applyAlignment="1" applyProtection="1">
      <alignment vertical="center"/>
    </xf>
    <xf numFmtId="165" fontId="1" fillId="5" borderId="8" xfId="0" applyNumberFormat="1" applyFont="1" applyFill="1" applyBorder="1" applyProtection="1"/>
    <xf numFmtId="0" fontId="4" fillId="0" borderId="0" xfId="0" applyFont="1" applyProtection="1"/>
    <xf numFmtId="0" fontId="7" fillId="0" borderId="32" xfId="0" applyFont="1" applyBorder="1" applyAlignment="1" applyProtection="1">
      <alignment horizontal="center" vertical="center"/>
    </xf>
    <xf numFmtId="0" fontId="9" fillId="5" borderId="29" xfId="0" applyFont="1" applyFill="1" applyBorder="1" applyAlignment="1" applyProtection="1">
      <alignment horizontal="center" vertical="center"/>
    </xf>
    <xf numFmtId="0" fontId="9" fillId="5" borderId="30" xfId="0" applyFont="1" applyFill="1" applyBorder="1" applyAlignment="1" applyProtection="1">
      <alignment horizontal="center" vertical="center"/>
    </xf>
    <xf numFmtId="0" fontId="4" fillId="0" borderId="16" xfId="0" applyFont="1" applyBorder="1" applyProtection="1"/>
    <xf numFmtId="0" fontId="9" fillId="5" borderId="20" xfId="0" applyFont="1" applyFill="1" applyBorder="1" applyAlignment="1" applyProtection="1">
      <alignment horizontal="center" vertical="center"/>
    </xf>
    <xf numFmtId="0" fontId="9" fillId="5" borderId="31" xfId="0" applyFont="1" applyFill="1" applyBorder="1" applyAlignment="1" applyProtection="1">
      <alignment horizontal="center" vertical="center"/>
    </xf>
    <xf numFmtId="0" fontId="0" fillId="0" borderId="0" xfId="0" applyAlignment="1" applyProtection="1">
      <alignment horizontal="center"/>
    </xf>
    <xf numFmtId="0" fontId="0" fillId="0" borderId="5" xfId="0" applyBorder="1" applyAlignment="1" applyProtection="1">
      <alignment horizontal="center"/>
    </xf>
    <xf numFmtId="5" fontId="4" fillId="0" borderId="5" xfId="0" applyNumberFormat="1" applyFont="1" applyBorder="1" applyProtection="1"/>
    <xf numFmtId="0" fontId="4" fillId="0" borderId="18" xfId="0" applyFont="1" applyBorder="1" applyProtection="1"/>
    <xf numFmtId="1" fontId="0" fillId="0" borderId="15" xfId="0" applyNumberFormat="1" applyBorder="1" applyAlignment="1" applyProtection="1">
      <alignment horizontal="right"/>
    </xf>
    <xf numFmtId="164" fontId="0" fillId="0" borderId="8" xfId="0" applyNumberFormat="1" applyBorder="1" applyAlignment="1" applyProtection="1">
      <alignment horizontal="right"/>
    </xf>
    <xf numFmtId="0" fontId="1" fillId="7" borderId="7" xfId="0" applyFont="1" applyFill="1" applyBorder="1" applyAlignment="1" applyProtection="1">
      <alignment horizontal="center" wrapText="1"/>
    </xf>
    <xf numFmtId="0" fontId="1" fillId="7" borderId="4" xfId="0" applyFont="1" applyFill="1" applyBorder="1" applyAlignment="1" applyProtection="1">
      <alignment horizontal="center" wrapText="1"/>
    </xf>
    <xf numFmtId="0" fontId="6" fillId="0" borderId="3" xfId="0" applyFont="1" applyBorder="1" applyAlignment="1" applyProtection="1">
      <alignment horizontal="center"/>
    </xf>
    <xf numFmtId="0" fontId="6" fillId="0" borderId="6" xfId="0" applyFont="1" applyBorder="1" applyAlignment="1" applyProtection="1">
      <alignment horizontal="center"/>
    </xf>
    <xf numFmtId="6" fontId="1" fillId="9" borderId="5" xfId="0" applyNumberFormat="1" applyFont="1" applyFill="1" applyBorder="1" applyAlignment="1" applyProtection="1">
      <alignment horizontal="center"/>
    </xf>
    <xf numFmtId="6" fontId="1" fillId="9" borderId="8" xfId="0" applyNumberFormat="1" applyFont="1" applyFill="1" applyBorder="1" applyAlignment="1" applyProtection="1">
      <alignment horizontal="center"/>
    </xf>
    <xf numFmtId="0" fontId="1" fillId="0" borderId="0" xfId="0" applyFont="1" applyAlignment="1" applyProtection="1">
      <alignment horizontal="center"/>
    </xf>
    <xf numFmtId="167" fontId="0" fillId="0" borderId="0" xfId="0" applyNumberFormat="1" applyProtection="1"/>
    <xf numFmtId="8" fontId="0" fillId="0" borderId="0" xfId="0" applyNumberFormat="1" applyAlignment="1" applyProtection="1">
      <alignment horizontal="center"/>
    </xf>
    <xf numFmtId="0" fontId="0" fillId="0" borderId="0" xfId="0" applyAlignment="1" applyProtection="1">
      <alignment horizontal="left" wrapText="1"/>
    </xf>
    <xf numFmtId="5" fontId="0" fillId="0" borderId="0" xfId="0" applyNumberFormat="1" applyProtection="1"/>
    <xf numFmtId="44" fontId="0" fillId="0" borderId="0" xfId="0" applyNumberFormat="1" applyAlignment="1" applyProtection="1">
      <alignment horizontal="left" wrapText="1"/>
    </xf>
    <xf numFmtId="0" fontId="0" fillId="0" borderId="5" xfId="0" applyBorder="1" applyAlignment="1" applyProtection="1">
      <alignment wrapText="1"/>
    </xf>
    <xf numFmtId="8" fontId="0" fillId="0" borderId="3" xfId="0" applyNumberFormat="1" applyBorder="1" applyProtection="1"/>
    <xf numFmtId="0" fontId="0" fillId="0" borderId="3" xfId="0" applyBorder="1" applyProtection="1"/>
    <xf numFmtId="0" fontId="0" fillId="0" borderId="3" xfId="0" applyBorder="1" applyAlignment="1" applyProtection="1">
      <alignment wrapText="1"/>
    </xf>
    <xf numFmtId="0" fontId="0" fillId="0" borderId="3" xfId="0" applyBorder="1" applyAlignment="1" applyProtection="1">
      <alignment vertical="center"/>
    </xf>
    <xf numFmtId="0" fontId="5" fillId="0" borderId="0" xfId="0" applyFont="1" applyProtection="1"/>
    <xf numFmtId="0" fontId="7" fillId="0" borderId="0" xfId="0" applyFont="1" applyProtection="1"/>
    <xf numFmtId="0" fontId="0" fillId="0" borderId="0" xfId="0" applyAlignment="1" applyProtection="1">
      <alignment vertical="top" wrapText="1"/>
    </xf>
    <xf numFmtId="0" fontId="1" fillId="6" borderId="7" xfId="0" applyFont="1" applyFill="1" applyBorder="1" applyAlignment="1" applyProtection="1">
      <alignment horizontal="center"/>
    </xf>
    <xf numFmtId="0" fontId="1" fillId="7" borderId="7" xfId="0" applyFont="1" applyFill="1" applyBorder="1" applyAlignment="1" applyProtection="1">
      <alignment horizontal="center" wrapText="1"/>
    </xf>
    <xf numFmtId="0" fontId="0" fillId="8" borderId="17" xfId="0" applyFill="1" applyBorder="1" applyProtection="1"/>
    <xf numFmtId="0" fontId="1" fillId="2" borderId="13" xfId="0" applyFont="1" applyFill="1" applyBorder="1" applyAlignment="1" applyProtection="1">
      <alignment horizontal="center" wrapText="1"/>
    </xf>
    <xf numFmtId="0" fontId="1" fillId="5" borderId="4" xfId="0" applyFont="1" applyFill="1" applyBorder="1" applyAlignment="1" applyProtection="1">
      <alignment horizontal="center" wrapText="1"/>
    </xf>
    <xf numFmtId="5" fontId="0" fillId="0" borderId="3" xfId="0" applyNumberFormat="1" applyBorder="1" applyAlignment="1" applyProtection="1">
      <alignment horizontal="right"/>
    </xf>
    <xf numFmtId="0" fontId="0" fillId="0" borderId="14" xfId="0" applyBorder="1" applyAlignment="1" applyProtection="1">
      <alignment horizontal="right"/>
    </xf>
    <xf numFmtId="5" fontId="0" fillId="0" borderId="6" xfId="0" applyNumberFormat="1" applyBorder="1" applyAlignment="1" applyProtection="1">
      <alignment horizontal="right"/>
    </xf>
    <xf numFmtId="0" fontId="2" fillId="3" borderId="7" xfId="0" applyFont="1" applyFill="1" applyBorder="1" applyProtection="1"/>
    <xf numFmtId="0" fontId="2" fillId="3" borderId="4" xfId="0" applyFont="1" applyFill="1" applyBorder="1" applyProtection="1"/>
    <xf numFmtId="1" fontId="4" fillId="0" borderId="14" xfId="0" applyNumberFormat="1" applyFont="1" applyBorder="1" applyAlignment="1" applyProtection="1">
      <alignment horizontal="right"/>
    </xf>
    <xf numFmtId="164" fontId="4" fillId="0" borderId="6" xfId="0" applyNumberFormat="1" applyFont="1" applyBorder="1" applyAlignment="1" applyProtection="1">
      <alignment horizontal="right"/>
    </xf>
    <xf numFmtId="10" fontId="0" fillId="10" borderId="6" xfId="0" applyNumberFormat="1" applyFill="1" applyBorder="1" applyAlignment="1" applyProtection="1">
      <alignment horizontal="right"/>
    </xf>
    <xf numFmtId="0" fontId="0" fillId="10" borderId="6" xfId="0" applyFill="1" applyBorder="1" applyAlignment="1" applyProtection="1">
      <alignment horizontal="right"/>
    </xf>
    <xf numFmtId="0" fontId="0" fillId="0" borderId="5" xfId="0" applyBorder="1" applyAlignment="1" applyProtection="1">
      <alignment vertical="center"/>
    </xf>
    <xf numFmtId="10" fontId="0" fillId="10" borderId="8" xfId="1" applyNumberFormat="1" applyFont="1" applyFill="1" applyBorder="1" applyAlignment="1" applyProtection="1">
      <alignment horizontal="right"/>
    </xf>
    <xf numFmtId="1" fontId="4" fillId="4" borderId="6" xfId="0" applyNumberFormat="1" applyFont="1" applyFill="1" applyBorder="1" applyAlignment="1" applyProtection="1">
      <alignment horizontal="right"/>
      <protection locked="0"/>
    </xf>
    <xf numFmtId="10" fontId="0" fillId="4" borderId="27" xfId="0" applyNumberFormat="1" applyFill="1" applyBorder="1" applyProtection="1">
      <protection locked="0"/>
    </xf>
    <xf numFmtId="0" fontId="0" fillId="11" borderId="16" xfId="0" applyFill="1" applyBorder="1" applyProtection="1"/>
    <xf numFmtId="166" fontId="1" fillId="5" borderId="4" xfId="0" applyNumberFormat="1" applyFont="1" applyFill="1" applyBorder="1" applyProtection="1"/>
    <xf numFmtId="0" fontId="1" fillId="0" borderId="5" xfId="0" applyFont="1" applyBorder="1" applyAlignment="1" applyProtection="1">
      <alignment wrapText="1"/>
    </xf>
    <xf numFmtId="166" fontId="1" fillId="5" borderId="8" xfId="0" applyNumberFormat="1" applyFont="1" applyFill="1" applyBorder="1" applyProtection="1"/>
    <xf numFmtId="0" fontId="4" fillId="11" borderId="16" xfId="0" applyFont="1" applyFill="1" applyBorder="1" applyProtection="1"/>
    <xf numFmtId="0" fontId="4" fillId="11" borderId="18" xfId="0" applyFont="1" applyFill="1" applyBorder="1" applyProtection="1"/>
    <xf numFmtId="6" fontId="0" fillId="0" borderId="0" xfId="0" applyNumberFormat="1" applyAlignment="1" applyProtection="1">
      <alignment horizontal="center"/>
    </xf>
    <xf numFmtId="8" fontId="0" fillId="0" borderId="0" xfId="0" applyNumberFormat="1" applyProtection="1"/>
    <xf numFmtId="44" fontId="0" fillId="0" borderId="0" xfId="0" applyNumberFormat="1" applyProtection="1"/>
    <xf numFmtId="0" fontId="0" fillId="11" borderId="17" xfId="0" applyFill="1" applyBorder="1" applyProtection="1"/>
    <xf numFmtId="6" fontId="0" fillId="0" borderId="0" xfId="0" applyNumberFormat="1" applyProtection="1"/>
    <xf numFmtId="165" fontId="0" fillId="0" borderId="0" xfId="0" applyNumberFormat="1" applyProtection="1"/>
    <xf numFmtId="5" fontId="0" fillId="0" borderId="11" xfId="0" applyNumberFormat="1" applyBorder="1" applyProtection="1"/>
    <xf numFmtId="0" fontId="1" fillId="0" borderId="3" xfId="0" applyFont="1" applyBorder="1" applyAlignment="1" applyProtection="1">
      <alignment wrapText="1"/>
    </xf>
    <xf numFmtId="166" fontId="1" fillId="5" borderId="6" xfId="0" applyNumberFormat="1" applyFont="1" applyFill="1" applyBorder="1" applyProtection="1"/>
    <xf numFmtId="44" fontId="1" fillId="5" borderId="8" xfId="0" applyNumberFormat="1" applyFont="1" applyFill="1" applyBorder="1" applyProtection="1"/>
    <xf numFmtId="5" fontId="0" fillId="0" borderId="12" xfId="0" applyNumberFormat="1" applyBorder="1" applyProtection="1"/>
    <xf numFmtId="0" fontId="4" fillId="0" borderId="0" xfId="0" applyFont="1" applyAlignment="1" applyProtection="1">
      <alignment horizontal="center"/>
    </xf>
    <xf numFmtId="0" fontId="6" fillId="0" borderId="3" xfId="0" applyFont="1" applyBorder="1" applyAlignment="1" applyProtection="1">
      <alignment horizontal="center"/>
    </xf>
    <xf numFmtId="0" fontId="6" fillId="0" borderId="6" xfId="0" applyFont="1" applyBorder="1" applyAlignment="1" applyProtection="1">
      <alignment horizontal="center"/>
    </xf>
    <xf numFmtId="6" fontId="1" fillId="9" borderId="5" xfId="0" applyNumberFormat="1" applyFont="1" applyFill="1" applyBorder="1" applyProtection="1"/>
    <xf numFmtId="6" fontId="1" fillId="9" borderId="8" xfId="0" applyNumberFormat="1" applyFont="1" applyFill="1" applyBorder="1" applyProtection="1"/>
    <xf numFmtId="7" fontId="0" fillId="0" borderId="0" xfId="0" applyNumberFormat="1" applyProtection="1"/>
    <xf numFmtId="9" fontId="0" fillId="0" borderId="0" xfId="0" applyNumberFormat="1" applyProtection="1"/>
    <xf numFmtId="0" fontId="0" fillId="0" borderId="23" xfId="0" applyBorder="1" applyAlignment="1" applyProtection="1">
      <alignment wrapText="1"/>
    </xf>
    <xf numFmtId="0" fontId="1" fillId="7" borderId="10" xfId="0" applyFont="1" applyFill="1" applyBorder="1" applyAlignment="1" applyProtection="1">
      <alignment horizontal="center" wrapText="1"/>
    </xf>
    <xf numFmtId="166" fontId="0" fillId="0" borderId="19" xfId="0" applyNumberFormat="1" applyBorder="1" applyAlignment="1" applyProtection="1">
      <alignment horizontal="right"/>
    </xf>
  </cellXfs>
  <cellStyles count="3">
    <cellStyle name="Comma" xfId="2" builtinId="3"/>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taunton, Jonathon" id="{2AB877E1-B427-4C3C-9062-5248F4279A60}" userId="Jonathon.Staunton@aecom.com" providerId="PeoplePicker"/>
  <person displayName="Lyon, Jim" id="{16663034-3DF2-4E93-891E-3D79F0A379ED}" userId="S::Jim.Lyon@aecom.com::161dc466-50d4-4b0a-bfd8-86238a9647de" providerId="AD"/>
</personList>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3" dT="2024-12-10T23:53:27.10" personId="{16663034-3DF2-4E93-891E-3D79F0A379ED}" id="{F136F76E-C0F1-4EC7-9065-5191D194578E}">
    <text>@Staunton, Jonathon - what is the point of the red vs. yellow vs. green boxes? It is not clear so if it has meaning recommend adding a legend. Also, R,Y,G have a common understanding as bad, OK, good - so if we do not want to have that inference recommend changing to more neutral colors or using different borders to separate the sections.</text>
    <mentions>
      <mention mentionpersonId="{2AB877E1-B427-4C3C-9062-5248F4279A60}" mentionId="{B7CD0A81-3F2D-4ED1-9DE9-AEA7C3ECF72F}" startIndex="0" length="19"/>
    </mentions>
  </threadedComment>
  <threadedComment ref="B74" dT="2024-12-10T23:27:01.99" personId="{16663034-3DF2-4E93-891E-3D79F0A379ED}" id="{45E1F99B-D9B5-4B14-BAD9-E588C403B9D9}">
    <text>@Staunton, Jonathon - what is the MEA minimum requirements? I believe this is the 10% or 20% depending on escalator, but I don’t see that defined on this tab.</text>
    <mentions>
      <mention mentionpersonId="{2AB877E1-B427-4C3C-9062-5248F4279A60}" mentionId="{654300D4-DBD7-41D3-84AB-B227260873EF}" startIndex="0" length="19"/>
    </mentions>
  </threadedComment>
  <threadedComment ref="D74" dT="2024-12-10T23:48:56.86" personId="{16663034-3DF2-4E93-891E-3D79F0A379ED}" id="{ED5C29AE-8075-47F6-ADAF-8FA5E3F6E873}">
    <text>@Staunton, Jonathon - recommend keeping the term we are defining bolded, but not the rest of the text (may be easiest to have it as two cells.</text>
    <mentions>
      <mention mentionpersonId="{2AB877E1-B427-4C3C-9062-5248F4279A60}" mentionId="{A7D7D962-AF96-41DB-A502-180EE7A53E7B}" startIndex="0" length="19"/>
    </mentions>
  </threadedComment>
  <threadedComment ref="B76" dT="2024-12-10T23:43:56.12" personId="{16663034-3DF2-4E93-891E-3D79F0A379ED}" id="{5357D4DA-A268-4D67-9E39-2A606B242E93}">
    <text>@Staunton, Jonathon  - I may be misunderstanding, but this definition seems to be the $/kWh rate customers pays - which is fixed (with maybe a winter/summer difference for one of the utilities). Is that correct, this is the $/kWh the CUSTOMER pays (including taxes on the energy but ignoring fixed/demand charges). 
That is different than the definitions I am finding on google which discuss the marginal cost for the UTILITY to provide the electricity at a specific time (so it will vary hour to hour and not just seasonally).</text>
    <mentions>
      <mention mentionpersonId="{2AB877E1-B427-4C3C-9062-5248F4279A60}" mentionId="{67966396-419C-4DA0-99EA-90EE448E563F}" startIndex="0" length="19"/>
    </mentions>
  </threadedComment>
  <threadedComment ref="K82" dT="2024-12-10T23:48:05.30" personId="{16663034-3DF2-4E93-891E-3D79F0A379ED}" id="{7FC471FD-B3D6-41DD-83B1-5D0B5DC22705}">
    <text>@Staunton, Jonathon  - I am not exactly sure what the arrows are supposed to mean. I think it would be good to try and show how these different rates tie together, but don’t think this hits the mark. Maybe we can have a standard equation and fade out the variables that do not impact the different rate definitions? Or an illustrative example of the inputs and how the rates are calculated would be helpful (could be a high-level table showing how these different rates are calculated).</text>
    <mentions>
      <mention mentionpersonId="{2AB877E1-B427-4C3C-9062-5248F4279A60}" mentionId="{2A4F568F-D175-4B41-AFE6-0C68B5532588}" startIndex="0" length="19"/>
    </mentions>
  </threadedComment>
  <threadedComment ref="B83" dT="2024-12-10T23:45:24.53" personId="{16663034-3DF2-4E93-891E-3D79F0A379ED}" id="{FCECD222-6982-4CD3-A195-ED6524145B7B}">
    <text>@Staunton, Jonathon - the customer does not pay the owner $/kWh, correct? Would it be more accurate to call this the normalized/levelized cost per kWh of forecasted production over the life of the loan/system?</text>
    <mentions>
      <mention mentionpersonId="{2AB877E1-B427-4C3C-9062-5248F4279A60}" mentionId="{B4A45309-F6D4-445B-A735-77BD2045F712}" startIndex="0" length="19"/>
    </mentions>
  </threadedComment>
  <threadedComment ref="B84" dT="2024-12-10T23:50:56.54" personId="{16663034-3DF2-4E93-891E-3D79F0A379ED}" id="{57EFFA37-27BA-41EB-AF3F-C3C311A21B72}">
    <text>@Staunton, Jonathon - same as above, is it more accurate to call this a “levelized” cost of the kWh production? And over the life of the system or the lease term? (And ignore this if the owner does actually have to pay the owner of the system - but what I usually see is the homeowner pays for the installation and gets the benefit of all the production.</text>
    <mentions>
      <mention mentionpersonId="{2AB877E1-B427-4C3C-9062-5248F4279A60}" mentionId="{7D4D92BA-AD11-4CD1-8704-2E9B91812CA3}" startIndex="0" length="19"/>
    </mentions>
  </threadedComment>
  <threadedComment ref="B88" dT="2024-12-10T23:51:43.32" personId="{16663034-3DF2-4E93-891E-3D79F0A379ED}" id="{33468B22-4FA6-4ECE-9CD1-20DE2C29D935}">
    <text>@Staunton, Jonathon - see comments above for the “No Rebate) options.</text>
    <mentions>
      <mention mentionpersonId="{2AB877E1-B427-4C3C-9062-5248F4279A60}" mentionId="{F7001281-970C-4BBF-ADAE-44770365AE1F}" startIndex="0" length="19"/>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E704-825D-4EF7-8AF2-A256DF03A6FC}">
  <dimension ref="A1:L92"/>
  <sheetViews>
    <sheetView zoomScaleNormal="100" zoomScaleSheetLayoutView="114" workbookViewId="0">
      <selection activeCell="B7" sqref="B7:I7"/>
    </sheetView>
  </sheetViews>
  <sheetFormatPr defaultRowHeight="15" x14ac:dyDescent="0.25"/>
  <cols>
    <col min="1" max="1" width="4.5703125" style="78" customWidth="1"/>
    <col min="2" max="2" width="13.7109375" style="78" customWidth="1"/>
    <col min="3" max="3" width="0.5703125" style="78" customWidth="1"/>
    <col min="4" max="4" width="17.85546875" style="78" customWidth="1"/>
    <col min="5" max="5" width="13.28515625" style="78" customWidth="1"/>
    <col min="6" max="6" width="9.7109375" style="78" bestFit="1" customWidth="1"/>
    <col min="7" max="9" width="13.28515625" style="78" customWidth="1"/>
    <col min="10" max="11" width="8.85546875" style="78" customWidth="1"/>
    <col min="12" max="12" width="3.28515625" style="78" customWidth="1"/>
    <col min="15" max="15" width="10.42578125" customWidth="1"/>
  </cols>
  <sheetData>
    <row r="1" spans="2:10" ht="17.45" customHeight="1" x14ac:dyDescent="0.25">
      <c r="B1" s="75" t="s">
        <v>74</v>
      </c>
      <c r="C1" s="75"/>
      <c r="D1" s="76"/>
      <c r="E1" s="76"/>
      <c r="F1" s="76"/>
      <c r="G1" s="76"/>
      <c r="H1" s="76"/>
      <c r="I1" s="76"/>
      <c r="J1" s="77"/>
    </row>
    <row r="2" spans="2:10" ht="32.25" customHeight="1" x14ac:dyDescent="0.25">
      <c r="B2" s="146" t="s">
        <v>75</v>
      </c>
      <c r="C2" s="146"/>
      <c r="D2" s="146"/>
      <c r="E2" s="146"/>
      <c r="F2" s="146"/>
      <c r="G2" s="146"/>
      <c r="H2" s="146"/>
      <c r="I2" s="146"/>
    </row>
    <row r="3" spans="2:10" x14ac:dyDescent="0.25">
      <c r="B3" s="79" t="s">
        <v>76</v>
      </c>
      <c r="C3" s="79"/>
    </row>
    <row r="4" spans="2:10" ht="31.15" customHeight="1" x14ac:dyDescent="0.25">
      <c r="B4" s="147" t="s">
        <v>77</v>
      </c>
      <c r="C4" s="147"/>
      <c r="D4" s="147"/>
      <c r="E4" s="147"/>
      <c r="F4" s="147"/>
      <c r="G4" s="147"/>
      <c r="H4" s="147"/>
      <c r="I4" s="147"/>
    </row>
    <row r="5" spans="2:10" x14ac:dyDescent="0.25">
      <c r="B5" s="79" t="s">
        <v>78</v>
      </c>
      <c r="C5" s="79"/>
    </row>
    <row r="6" spans="2:10" ht="10.15" customHeight="1" x14ac:dyDescent="0.25">
      <c r="B6" s="79"/>
      <c r="C6" s="79"/>
    </row>
    <row r="7" spans="2:10" ht="28.15" customHeight="1" x14ac:dyDescent="0.25">
      <c r="B7" s="148" t="s">
        <v>79</v>
      </c>
      <c r="C7" s="148"/>
      <c r="D7" s="148"/>
      <c r="E7" s="148"/>
      <c r="F7" s="148"/>
      <c r="G7" s="148"/>
      <c r="H7" s="148"/>
      <c r="I7" s="148"/>
    </row>
    <row r="8" spans="2:10" ht="15.75" x14ac:dyDescent="0.25">
      <c r="B8" s="137" t="s">
        <v>80</v>
      </c>
      <c r="C8" s="137"/>
      <c r="D8" s="137"/>
      <c r="E8" s="137"/>
      <c r="F8" s="137"/>
      <c r="G8" s="137"/>
      <c r="H8" s="137"/>
      <c r="I8" s="137"/>
    </row>
    <row r="9" spans="2:10" ht="10.15" customHeight="1" x14ac:dyDescent="0.25">
      <c r="B9" s="81"/>
      <c r="C9" s="81"/>
      <c r="D9" s="81"/>
      <c r="E9" s="81"/>
      <c r="F9" s="81"/>
      <c r="G9" s="81"/>
      <c r="H9" s="81"/>
      <c r="I9" s="81"/>
    </row>
    <row r="10" spans="2:10" ht="14.45" customHeight="1" x14ac:dyDescent="0.25">
      <c r="B10" s="82" t="s">
        <v>81</v>
      </c>
      <c r="C10" s="83"/>
      <c r="D10" s="149" t="s">
        <v>82</v>
      </c>
      <c r="E10" s="149"/>
      <c r="F10" s="149"/>
      <c r="G10" s="149"/>
      <c r="H10" s="149"/>
    </row>
    <row r="11" spans="2:10" x14ac:dyDescent="0.25">
      <c r="D11" s="84" t="s">
        <v>83</v>
      </c>
      <c r="E11" s="84" t="s">
        <v>84</v>
      </c>
      <c r="F11" s="84" t="s">
        <v>26</v>
      </c>
      <c r="G11" s="84" t="s">
        <v>85</v>
      </c>
      <c r="H11" s="84" t="s">
        <v>86</v>
      </c>
    </row>
    <row r="12" spans="2:10" x14ac:dyDescent="0.25">
      <c r="D12" s="85">
        <v>0.17844831289345894</v>
      </c>
      <c r="E12" s="85">
        <v>0.21230357645975351</v>
      </c>
      <c r="F12" s="85">
        <v>0.16991500000000001</v>
      </c>
      <c r="G12" s="85">
        <v>0.20109599021997451</v>
      </c>
      <c r="H12" s="85">
        <v>0.13170735318117102</v>
      </c>
    </row>
    <row r="14" spans="2:10" x14ac:dyDescent="0.25">
      <c r="B14" s="82" t="s">
        <v>87</v>
      </c>
      <c r="D14" s="150" t="s">
        <v>88</v>
      </c>
      <c r="E14" s="151"/>
      <c r="F14" s="151"/>
      <c r="G14" s="151"/>
      <c r="H14" s="152"/>
    </row>
    <row r="15" spans="2:10" x14ac:dyDescent="0.25">
      <c r="B15" s="82"/>
      <c r="D15" s="141" t="s">
        <v>89</v>
      </c>
      <c r="E15" s="141"/>
      <c r="F15" s="86" t="s">
        <v>90</v>
      </c>
      <c r="G15" s="86" t="s">
        <v>91</v>
      </c>
      <c r="H15" s="87" t="s">
        <v>92</v>
      </c>
    </row>
    <row r="16" spans="2:10" x14ac:dyDescent="0.25">
      <c r="D16" s="88" t="s">
        <v>93</v>
      </c>
      <c r="E16" s="89"/>
      <c r="F16" s="90"/>
      <c r="G16" s="91">
        <v>0.16559799915744799</v>
      </c>
      <c r="H16" s="92">
        <v>0.11663879408935492</v>
      </c>
    </row>
    <row r="17" spans="2:8" x14ac:dyDescent="0.25">
      <c r="D17" s="93" t="s">
        <v>94</v>
      </c>
      <c r="E17" s="94"/>
      <c r="F17" s="94"/>
      <c r="G17" s="95">
        <v>7.2011405026188857E-2</v>
      </c>
      <c r="H17" s="96">
        <v>0.34637211079158181</v>
      </c>
    </row>
    <row r="18" spans="2:8" x14ac:dyDescent="0.25">
      <c r="D18" s="93" t="s">
        <v>95</v>
      </c>
      <c r="E18" s="94"/>
      <c r="F18" s="94"/>
      <c r="G18" s="97">
        <v>491.80644955712131</v>
      </c>
      <c r="H18" s="97">
        <v>805.00315329194473</v>
      </c>
    </row>
    <row r="19" spans="2:8" x14ac:dyDescent="0.25">
      <c r="D19" s="98"/>
      <c r="E19" s="98"/>
      <c r="F19" s="98"/>
      <c r="G19" s="99"/>
      <c r="H19" s="99"/>
    </row>
    <row r="20" spans="2:8" x14ac:dyDescent="0.25">
      <c r="D20" s="150" t="s">
        <v>96</v>
      </c>
      <c r="E20" s="151"/>
      <c r="F20" s="151"/>
      <c r="G20" s="151"/>
      <c r="H20" s="152"/>
    </row>
    <row r="21" spans="2:8" x14ac:dyDescent="0.25">
      <c r="D21" s="141" t="s">
        <v>89</v>
      </c>
      <c r="E21" s="141"/>
      <c r="F21" s="100" t="s">
        <v>90</v>
      </c>
      <c r="G21" s="100" t="s">
        <v>91</v>
      </c>
      <c r="H21" s="101" t="s">
        <v>92</v>
      </c>
    </row>
    <row r="22" spans="2:8" x14ac:dyDescent="0.25">
      <c r="D22" s="88" t="s">
        <v>93</v>
      </c>
      <c r="E22" s="89"/>
      <c r="F22" s="90"/>
      <c r="G22" s="91">
        <v>0.12186972171624226</v>
      </c>
      <c r="H22" s="92">
        <v>8.5838823609135528E-2</v>
      </c>
    </row>
    <row r="23" spans="2:8" x14ac:dyDescent="0.25">
      <c r="D23" s="93" t="s">
        <v>94</v>
      </c>
      <c r="E23" s="94"/>
      <c r="F23" s="94"/>
      <c r="G23" s="95">
        <v>0.31705870601868036</v>
      </c>
      <c r="H23" s="96">
        <v>0.51897094336562954</v>
      </c>
    </row>
    <row r="24" spans="2:8" x14ac:dyDescent="0.25">
      <c r="D24" s="93" t="s">
        <v>95</v>
      </c>
      <c r="E24" s="94"/>
      <c r="F24" s="94"/>
      <c r="G24" s="97">
        <v>491.80644955712393</v>
      </c>
      <c r="H24" s="97">
        <v>805.00315000000001</v>
      </c>
    </row>
    <row r="25" spans="2:8" ht="14.45" customHeight="1" x14ac:dyDescent="0.25"/>
    <row r="26" spans="2:8" x14ac:dyDescent="0.25">
      <c r="B26" s="82" t="s">
        <v>97</v>
      </c>
      <c r="D26" s="143" t="s">
        <v>98</v>
      </c>
      <c r="E26" s="144"/>
      <c r="F26" s="144"/>
      <c r="G26" s="144"/>
      <c r="H26" s="145"/>
    </row>
    <row r="27" spans="2:8" x14ac:dyDescent="0.25">
      <c r="D27" s="141" t="s">
        <v>99</v>
      </c>
      <c r="E27" s="141"/>
      <c r="F27" s="86" t="s">
        <v>90</v>
      </c>
      <c r="G27" s="86" t="s">
        <v>91</v>
      </c>
      <c r="H27" s="87" t="s">
        <v>92</v>
      </c>
    </row>
    <row r="28" spans="2:8" x14ac:dyDescent="0.25">
      <c r="D28" s="102" t="s">
        <v>100</v>
      </c>
      <c r="E28" s="103"/>
      <c r="F28" s="104"/>
      <c r="G28" s="105">
        <v>94.424242133913936</v>
      </c>
      <c r="H28" s="105">
        <v>49.280947640848353</v>
      </c>
    </row>
    <row r="29" spans="2:8" x14ac:dyDescent="0.25">
      <c r="D29" s="106" t="s">
        <v>101</v>
      </c>
      <c r="E29" s="104"/>
      <c r="F29" s="104"/>
      <c r="G29" s="105">
        <v>74.529972041163461</v>
      </c>
      <c r="H29" s="105">
        <v>39.499093280992511</v>
      </c>
    </row>
    <row r="30" spans="2:8" x14ac:dyDescent="0.25">
      <c r="D30" s="107" t="s">
        <v>102</v>
      </c>
      <c r="E30" s="108"/>
      <c r="F30" s="108"/>
      <c r="G30" s="109">
        <v>24579.205641815461</v>
      </c>
      <c r="H30" s="109">
        <v>16749.288048444876</v>
      </c>
    </row>
    <row r="31" spans="2:8" x14ac:dyDescent="0.25">
      <c r="B31" s="82"/>
      <c r="D31" s="143" t="s">
        <v>103</v>
      </c>
      <c r="E31" s="144"/>
      <c r="F31" s="144"/>
      <c r="G31" s="144"/>
      <c r="H31" s="145"/>
    </row>
    <row r="32" spans="2:8" x14ac:dyDescent="0.25">
      <c r="D32" s="141" t="s">
        <v>99</v>
      </c>
      <c r="E32" s="141"/>
      <c r="F32" s="86" t="s">
        <v>90</v>
      </c>
      <c r="G32" s="86" t="s">
        <v>91</v>
      </c>
      <c r="H32" s="87" t="s">
        <v>92</v>
      </c>
    </row>
    <row r="33" spans="2:9" x14ac:dyDescent="0.25">
      <c r="D33" s="102" t="s">
        <v>100</v>
      </c>
      <c r="E33" s="103"/>
      <c r="F33" s="104"/>
      <c r="G33" s="105">
        <v>113.14715270269218</v>
      </c>
      <c r="H33" s="105">
        <v>79.927436066766461</v>
      </c>
    </row>
    <row r="34" spans="2:9" x14ac:dyDescent="0.25">
      <c r="D34" s="106" t="s">
        <v>101</v>
      </c>
      <c r="E34" s="104"/>
      <c r="F34" s="104"/>
      <c r="G34" s="105">
        <v>74.529972041162964</v>
      </c>
      <c r="H34" s="105">
        <v>39.499093795478842</v>
      </c>
    </row>
    <row r="35" spans="2:9" x14ac:dyDescent="0.25">
      <c r="D35" s="106" t="s">
        <v>102</v>
      </c>
      <c r="E35" s="104"/>
      <c r="F35" s="104"/>
      <c r="G35" s="110">
        <v>24579.205641815395</v>
      </c>
      <c r="H35" s="110">
        <v>16749.288130743495</v>
      </c>
    </row>
    <row r="37" spans="2:9" ht="15.75" x14ac:dyDescent="0.25">
      <c r="B37" s="137" t="s">
        <v>104</v>
      </c>
      <c r="C37" s="137"/>
      <c r="D37" s="137"/>
      <c r="E37" s="137"/>
      <c r="F37" s="137"/>
      <c r="G37" s="137"/>
      <c r="H37" s="137"/>
      <c r="I37" s="137"/>
    </row>
    <row r="38" spans="2:9" ht="15" customHeight="1" x14ac:dyDescent="0.25">
      <c r="B38" s="111" t="s">
        <v>105</v>
      </c>
      <c r="C38" s="111"/>
    </row>
    <row r="39" spans="2:9" ht="20.25" customHeight="1" x14ac:dyDescent="0.25">
      <c r="B39" s="112" t="s">
        <v>106</v>
      </c>
      <c r="C39" s="80"/>
      <c r="D39" s="80"/>
      <c r="E39" s="80"/>
      <c r="F39" s="80"/>
      <c r="G39" s="80"/>
      <c r="H39" s="80"/>
      <c r="I39" s="80"/>
    </row>
    <row r="40" spans="2:9" ht="59.45" customHeight="1" x14ac:dyDescent="0.25">
      <c r="B40" s="138" t="s">
        <v>142</v>
      </c>
      <c r="C40" s="138"/>
      <c r="D40" s="138"/>
      <c r="E40" s="138"/>
      <c r="F40" s="138"/>
      <c r="G40" s="138"/>
      <c r="H40" s="138"/>
      <c r="I40" s="138"/>
    </row>
    <row r="41" spans="2:9" x14ac:dyDescent="0.25">
      <c r="B41" s="142" t="s">
        <v>107</v>
      </c>
      <c r="C41" s="142"/>
      <c r="D41" s="142"/>
      <c r="E41" s="142"/>
      <c r="F41" s="142"/>
      <c r="G41" s="142"/>
      <c r="H41" s="142"/>
      <c r="I41" s="142"/>
    </row>
    <row r="42" spans="2:9" ht="20.25" customHeight="1" x14ac:dyDescent="0.25">
      <c r="B42" s="112" t="s">
        <v>108</v>
      </c>
      <c r="C42" s="80"/>
      <c r="D42" s="80"/>
      <c r="E42" s="80"/>
      <c r="F42" s="80"/>
      <c r="G42" s="80"/>
      <c r="H42" s="80"/>
      <c r="I42" s="80"/>
    </row>
    <row r="43" spans="2:9" ht="45" customHeight="1" x14ac:dyDescent="0.25">
      <c r="B43" s="138" t="s">
        <v>109</v>
      </c>
      <c r="C43" s="138"/>
      <c r="D43" s="138"/>
      <c r="E43" s="138"/>
      <c r="F43" s="138"/>
      <c r="G43" s="138"/>
      <c r="H43" s="138"/>
      <c r="I43" s="138"/>
    </row>
    <row r="44" spans="2:9" ht="30.6" customHeight="1" x14ac:dyDescent="0.25">
      <c r="B44" s="138" t="s">
        <v>110</v>
      </c>
      <c r="C44" s="138"/>
      <c r="D44" s="138"/>
      <c r="E44" s="138"/>
      <c r="F44" s="138"/>
      <c r="G44" s="138"/>
      <c r="H44" s="138"/>
      <c r="I44" s="138"/>
    </row>
    <row r="45" spans="2:9" ht="20.25" customHeight="1" x14ac:dyDescent="0.25">
      <c r="B45" s="112" t="s">
        <v>111</v>
      </c>
      <c r="C45" s="80"/>
      <c r="D45" s="80"/>
      <c r="E45" s="80"/>
      <c r="F45" s="80"/>
      <c r="G45" s="80"/>
      <c r="H45" s="80"/>
      <c r="I45" s="80"/>
    </row>
    <row r="46" spans="2:9" ht="34.5" customHeight="1" x14ac:dyDescent="0.25">
      <c r="B46" s="138" t="s">
        <v>112</v>
      </c>
      <c r="C46" s="138"/>
      <c r="D46" s="138"/>
      <c r="E46" s="138"/>
      <c r="F46" s="138"/>
      <c r="G46" s="138"/>
      <c r="H46" s="138"/>
      <c r="I46" s="138"/>
    </row>
    <row r="47" spans="2:9" ht="63" customHeight="1" x14ac:dyDescent="0.25">
      <c r="B47" s="138" t="s">
        <v>113</v>
      </c>
      <c r="C47" s="138"/>
      <c r="D47" s="138"/>
      <c r="E47" s="138"/>
      <c r="F47" s="138"/>
      <c r="G47" s="138"/>
      <c r="H47" s="138"/>
      <c r="I47" s="138"/>
    </row>
    <row r="48" spans="2:9" ht="48" customHeight="1" x14ac:dyDescent="0.25">
      <c r="B48" s="138" t="s">
        <v>114</v>
      </c>
      <c r="C48" s="138"/>
      <c r="D48" s="138"/>
      <c r="E48" s="138"/>
      <c r="F48" s="138"/>
      <c r="G48" s="138"/>
      <c r="H48" s="138"/>
      <c r="I48" s="138"/>
    </row>
    <row r="49" spans="2:10" ht="66.75" customHeight="1" x14ac:dyDescent="0.25">
      <c r="B49" s="138" t="s">
        <v>115</v>
      </c>
      <c r="C49" s="138"/>
      <c r="D49" s="138"/>
      <c r="E49" s="138"/>
      <c r="F49" s="138"/>
      <c r="G49" s="138"/>
      <c r="H49" s="138"/>
      <c r="I49" s="138"/>
    </row>
    <row r="50" spans="2:10" ht="20.25" customHeight="1" x14ac:dyDescent="0.25">
      <c r="B50" s="112" t="s">
        <v>116</v>
      </c>
      <c r="C50" s="80"/>
      <c r="D50" s="80"/>
      <c r="E50" s="80"/>
      <c r="F50" s="80"/>
      <c r="G50" s="80"/>
      <c r="H50" s="80"/>
      <c r="I50" s="80"/>
    </row>
    <row r="51" spans="2:10" ht="30" customHeight="1" x14ac:dyDescent="0.25">
      <c r="B51" s="138" t="s">
        <v>117</v>
      </c>
      <c r="C51" s="138"/>
      <c r="D51" s="138"/>
      <c r="E51" s="138"/>
      <c r="F51" s="138"/>
      <c r="G51" s="138"/>
      <c r="H51" s="138"/>
      <c r="I51" s="138"/>
    </row>
    <row r="52" spans="2:10" ht="20.25" customHeight="1" x14ac:dyDescent="0.25">
      <c r="B52" s="112" t="s">
        <v>118</v>
      </c>
      <c r="C52" s="80"/>
      <c r="D52" s="80"/>
      <c r="E52" s="80"/>
      <c r="F52" s="80"/>
      <c r="G52" s="80"/>
      <c r="H52" s="80"/>
      <c r="I52" s="80"/>
    </row>
    <row r="53" spans="2:10" ht="51" customHeight="1" x14ac:dyDescent="0.25">
      <c r="B53" s="138" t="s">
        <v>119</v>
      </c>
      <c r="C53" s="138"/>
      <c r="D53" s="138"/>
      <c r="E53" s="138"/>
      <c r="F53" s="138"/>
      <c r="G53" s="138"/>
      <c r="H53" s="138"/>
      <c r="I53" s="138"/>
    </row>
    <row r="54" spans="2:10" ht="16.899999999999999" customHeight="1" x14ac:dyDescent="0.25">
      <c r="B54" s="138" t="s">
        <v>120</v>
      </c>
      <c r="C54" s="138"/>
      <c r="D54" s="138"/>
      <c r="E54" s="138"/>
      <c r="F54" s="138"/>
      <c r="G54" s="138"/>
      <c r="H54" s="138"/>
      <c r="I54" s="138"/>
    </row>
    <row r="55" spans="2:10" ht="47.45" customHeight="1" x14ac:dyDescent="0.25">
      <c r="B55" s="138" t="s">
        <v>121</v>
      </c>
      <c r="C55" s="138"/>
      <c r="D55" s="138"/>
      <c r="E55" s="138"/>
      <c r="F55" s="138"/>
      <c r="G55" s="138"/>
      <c r="H55" s="138"/>
      <c r="I55" s="138"/>
    </row>
    <row r="56" spans="2:10" ht="10.15" customHeight="1" x14ac:dyDescent="0.25">
      <c r="B56" s="113"/>
      <c r="C56" s="113"/>
      <c r="D56" s="113"/>
      <c r="E56" s="113"/>
      <c r="F56" s="113"/>
      <c r="G56" s="113"/>
      <c r="H56" s="113"/>
      <c r="I56" s="113"/>
    </row>
    <row r="57" spans="2:10" ht="15.75" x14ac:dyDescent="0.25">
      <c r="B57" s="139" t="s">
        <v>122</v>
      </c>
      <c r="C57" s="139"/>
      <c r="D57" s="139"/>
      <c r="E57" s="139"/>
      <c r="F57" s="139"/>
      <c r="G57" s="139"/>
      <c r="H57" s="139"/>
      <c r="I57" s="139"/>
    </row>
    <row r="58" spans="2:10" ht="30" customHeight="1" x14ac:dyDescent="0.25">
      <c r="B58" s="136" t="s">
        <v>123</v>
      </c>
      <c r="C58" s="136"/>
      <c r="D58" s="136"/>
      <c r="E58" s="136"/>
      <c r="F58" s="136"/>
      <c r="G58" s="136"/>
      <c r="H58" s="136"/>
      <c r="I58" s="136"/>
      <c r="J58"/>
    </row>
    <row r="59" spans="2:10" ht="30" customHeight="1" x14ac:dyDescent="0.25">
      <c r="B59" s="140" t="s">
        <v>124</v>
      </c>
      <c r="C59" s="140"/>
      <c r="D59" s="140"/>
      <c r="E59" s="140"/>
      <c r="F59" s="140"/>
      <c r="G59" s="140"/>
      <c r="H59" s="140"/>
      <c r="I59" s="140"/>
      <c r="J59"/>
    </row>
    <row r="60" spans="2:10" ht="30" customHeight="1" x14ac:dyDescent="0.25">
      <c r="B60" s="140" t="s">
        <v>125</v>
      </c>
      <c r="C60" s="140"/>
      <c r="D60" s="140"/>
      <c r="E60" s="140"/>
      <c r="F60" s="140"/>
      <c r="G60" s="140"/>
      <c r="H60" s="140"/>
      <c r="I60" s="140"/>
      <c r="J60"/>
    </row>
    <row r="61" spans="2:10" ht="75" customHeight="1" x14ac:dyDescent="0.25">
      <c r="B61" s="136" t="s">
        <v>126</v>
      </c>
      <c r="C61" s="136"/>
      <c r="D61" s="136"/>
      <c r="E61" s="136"/>
      <c r="F61" s="136"/>
      <c r="G61" s="136"/>
      <c r="H61" s="136"/>
      <c r="I61" s="136"/>
      <c r="J61"/>
    </row>
    <row r="62" spans="2:10" ht="31.15" customHeight="1" x14ac:dyDescent="0.25">
      <c r="B62" s="136" t="s">
        <v>127</v>
      </c>
      <c r="C62" s="136"/>
      <c r="D62" s="136"/>
      <c r="E62" s="136"/>
      <c r="F62" s="136"/>
      <c r="G62" s="136"/>
      <c r="H62" s="136"/>
      <c r="I62" s="136"/>
      <c r="J62"/>
    </row>
    <row r="63" spans="2:10" ht="10.15" customHeight="1" x14ac:dyDescent="0.25"/>
    <row r="64" spans="2:10" ht="15.75" x14ac:dyDescent="0.25">
      <c r="B64" s="137" t="s">
        <v>128</v>
      </c>
      <c r="C64" s="137"/>
      <c r="D64" s="137"/>
      <c r="E64" s="137"/>
      <c r="F64" s="137"/>
      <c r="G64" s="137"/>
      <c r="H64" s="137"/>
      <c r="I64" s="137"/>
    </row>
    <row r="65" spans="2:10" x14ac:dyDescent="0.25">
      <c r="B65" s="114" t="s">
        <v>129</v>
      </c>
      <c r="C65" s="115"/>
      <c r="D65" s="115"/>
      <c r="E65" s="115"/>
      <c r="F65" s="116"/>
    </row>
    <row r="66" spans="2:10" x14ac:dyDescent="0.25">
      <c r="B66" s="117" t="s">
        <v>130</v>
      </c>
      <c r="C66" s="118"/>
      <c r="D66" s="118"/>
      <c r="E66" s="118"/>
      <c r="F66" s="119"/>
    </row>
    <row r="67" spans="2:10" x14ac:dyDescent="0.25">
      <c r="B67" s="78" t="s">
        <v>131</v>
      </c>
    </row>
    <row r="68" spans="2:10" ht="10.15" customHeight="1" x14ac:dyDescent="0.25"/>
    <row r="69" spans="2:10" x14ac:dyDescent="0.25">
      <c r="B69" s="120"/>
      <c r="C69" s="120"/>
    </row>
    <row r="73" spans="2:10" hidden="1" x14ac:dyDescent="0.25"/>
    <row r="74" spans="2:10" ht="15.75" hidden="1" thickBot="1" x14ac:dyDescent="0.3">
      <c r="B74" s="121" t="s">
        <v>132</v>
      </c>
      <c r="C74" s="121"/>
      <c r="D74" s="122"/>
      <c r="E74" s="122"/>
      <c r="F74" s="122"/>
      <c r="G74" s="122"/>
      <c r="H74" s="122"/>
      <c r="I74" s="122"/>
      <c r="J74" s="122"/>
    </row>
    <row r="75" spans="2:10" hidden="1" x14ac:dyDescent="0.25"/>
    <row r="76" spans="2:10" ht="16.5" hidden="1" thickBot="1" x14ac:dyDescent="0.3">
      <c r="B76" s="123" t="s">
        <v>133</v>
      </c>
      <c r="C76" s="123"/>
      <c r="D76" s="124"/>
      <c r="E76" s="124"/>
      <c r="F76" s="124"/>
      <c r="G76" s="124"/>
      <c r="H76" s="124"/>
      <c r="I76" s="124"/>
      <c r="J76" s="124"/>
    </row>
    <row r="77" spans="2:10" hidden="1" x14ac:dyDescent="0.25"/>
    <row r="78" spans="2:10" hidden="1" x14ac:dyDescent="0.25"/>
    <row r="79" spans="2:10" hidden="1" x14ac:dyDescent="0.25"/>
    <row r="80" spans="2:10" hidden="1" x14ac:dyDescent="0.25"/>
    <row r="81" spans="2:11" ht="15.75" hidden="1" thickBot="1" x14ac:dyDescent="0.3">
      <c r="B81" s="125"/>
      <c r="C81" s="125"/>
      <c r="D81" s="125"/>
      <c r="E81" s="125"/>
      <c r="F81" s="125"/>
      <c r="G81" s="125"/>
      <c r="H81" s="125"/>
      <c r="I81" s="125"/>
      <c r="J81" s="125"/>
    </row>
    <row r="82" spans="2:11" hidden="1" x14ac:dyDescent="0.25">
      <c r="K82" s="78" t="s">
        <v>134</v>
      </c>
    </row>
    <row r="83" spans="2:11" hidden="1" x14ac:dyDescent="0.25">
      <c r="B83" s="126" t="s">
        <v>135</v>
      </c>
      <c r="C83" s="126"/>
    </row>
    <row r="84" spans="2:11" ht="15.75" hidden="1" thickBot="1" x14ac:dyDescent="0.3">
      <c r="B84" s="127" t="s">
        <v>136</v>
      </c>
      <c r="C84" s="127"/>
      <c r="D84" s="128"/>
      <c r="E84" s="128"/>
      <c r="F84" s="128"/>
      <c r="G84" s="128"/>
      <c r="H84" s="128"/>
      <c r="I84" s="128"/>
      <c r="J84" s="128"/>
    </row>
    <row r="85" spans="2:11" hidden="1" x14ac:dyDescent="0.25"/>
    <row r="86" spans="2:11" ht="15.75" hidden="1" thickBot="1" x14ac:dyDescent="0.3">
      <c r="B86" s="125"/>
      <c r="C86" s="125"/>
      <c r="D86" s="125"/>
      <c r="E86" s="125"/>
      <c r="F86" s="125"/>
      <c r="G86" s="125"/>
      <c r="H86" s="125"/>
      <c r="I86" s="125"/>
      <c r="J86" s="125"/>
    </row>
    <row r="87" spans="2:11" hidden="1" x14ac:dyDescent="0.25"/>
    <row r="88" spans="2:11" ht="15.75" hidden="1" thickBot="1" x14ac:dyDescent="0.3">
      <c r="B88" s="121" t="s">
        <v>137</v>
      </c>
      <c r="C88" s="121"/>
      <c r="D88" s="122"/>
      <c r="E88" s="122"/>
      <c r="F88" s="122"/>
      <c r="G88" s="122"/>
      <c r="H88" s="122"/>
      <c r="I88" s="122"/>
      <c r="J88" s="122"/>
    </row>
    <row r="89" spans="2:11" ht="15.75" hidden="1" thickBot="1" x14ac:dyDescent="0.3">
      <c r="B89" s="121" t="s">
        <v>138</v>
      </c>
      <c r="C89" s="121"/>
      <c r="D89" s="122"/>
      <c r="E89" s="122"/>
      <c r="F89" s="122"/>
      <c r="G89" s="122"/>
      <c r="H89" s="122"/>
      <c r="I89" s="122"/>
      <c r="J89" s="122"/>
    </row>
    <row r="90" spans="2:11" hidden="1" x14ac:dyDescent="0.25"/>
    <row r="91" spans="2:11" ht="15.75" hidden="1" thickBot="1" x14ac:dyDescent="0.3">
      <c r="B91" s="121" t="s">
        <v>139</v>
      </c>
      <c r="C91" s="121"/>
      <c r="D91" s="122"/>
      <c r="E91" s="122"/>
      <c r="F91" s="122"/>
      <c r="G91" s="122"/>
      <c r="H91" s="122"/>
      <c r="I91" s="122"/>
      <c r="J91" s="122"/>
    </row>
    <row r="92" spans="2:11" hidden="1" x14ac:dyDescent="0.25"/>
  </sheetData>
  <mergeCells count="33">
    <mergeCell ref="D31:H31"/>
    <mergeCell ref="B2:I2"/>
    <mergeCell ref="B4:I4"/>
    <mergeCell ref="B7:I7"/>
    <mergeCell ref="B8:I8"/>
    <mergeCell ref="D10:H10"/>
    <mergeCell ref="D14:H14"/>
    <mergeCell ref="D15:E15"/>
    <mergeCell ref="D20:H20"/>
    <mergeCell ref="D21:E21"/>
    <mergeCell ref="D26:H26"/>
    <mergeCell ref="D27:E27"/>
    <mergeCell ref="B53:I53"/>
    <mergeCell ref="D32:E32"/>
    <mergeCell ref="B37:I37"/>
    <mergeCell ref="B40:I40"/>
    <mergeCell ref="B41:I41"/>
    <mergeCell ref="B43:I43"/>
    <mergeCell ref="B44:I44"/>
    <mergeCell ref="B46:I46"/>
    <mergeCell ref="B47:I47"/>
    <mergeCell ref="B48:I48"/>
    <mergeCell ref="B49:I49"/>
    <mergeCell ref="B51:I51"/>
    <mergeCell ref="B61:I61"/>
    <mergeCell ref="B62:I62"/>
    <mergeCell ref="B64:I64"/>
    <mergeCell ref="B54:I54"/>
    <mergeCell ref="B55:I55"/>
    <mergeCell ref="B57:I57"/>
    <mergeCell ref="B58:I58"/>
    <mergeCell ref="B59:I59"/>
    <mergeCell ref="B60:I60"/>
  </mergeCells>
  <pageMargins left="0.7" right="0.7" top="0.75" bottom="0.75" header="0.3" footer="0.3"/>
  <pageSetup scale="92" orientation="portrait" r:id="rId1"/>
  <rowBreaks count="2" manualBreakCount="2">
    <brk id="36" min="1" max="8" man="1"/>
    <brk id="56" min="1"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53278-B3EA-48DC-94FE-CE22699B13D4}">
  <dimension ref="A1:J48"/>
  <sheetViews>
    <sheetView showGridLines="0" tabSelected="1" zoomScaleNormal="100" workbookViewId="0">
      <selection activeCell="C11" sqref="C11"/>
    </sheetView>
  </sheetViews>
  <sheetFormatPr defaultColWidth="10" defaultRowHeight="15" x14ac:dyDescent="0.25"/>
  <cols>
    <col min="1" max="1" width="6.28515625" style="188" customWidth="1"/>
    <col min="2" max="2" width="64.42578125" style="170" bestFit="1" customWidth="1"/>
    <col min="3" max="3" width="14.28515625" style="170" bestFit="1" customWidth="1"/>
    <col min="4" max="4" width="6.85546875" style="170" customWidth="1"/>
    <col min="5" max="5" width="3.140625" style="170" customWidth="1"/>
    <col min="6" max="7" width="12.7109375" style="188" customWidth="1"/>
    <col min="8" max="8" width="1.28515625" style="170" customWidth="1"/>
    <col min="9" max="10" width="12.7109375" style="170" customWidth="1"/>
    <col min="11" max="11" width="4.85546875" style="170" customWidth="1"/>
    <col min="12" max="12" width="52.28515625" style="170" bestFit="1" customWidth="1"/>
    <col min="13" max="13" width="6.5703125" style="170" bestFit="1" customWidth="1"/>
    <col min="14" max="14" width="6.140625" style="170" bestFit="1" customWidth="1"/>
    <col min="15" max="15" width="14.85546875" style="170" bestFit="1" customWidth="1"/>
    <col min="16" max="16" width="14.5703125" style="170" bestFit="1" customWidth="1"/>
    <col min="17" max="16384" width="10" style="170"/>
  </cols>
  <sheetData>
    <row r="1" spans="1:10" ht="19.5" thickBot="1" x14ac:dyDescent="0.35">
      <c r="B1" s="211" t="s">
        <v>37</v>
      </c>
      <c r="G1" s="169"/>
      <c r="H1" s="212"/>
      <c r="I1" s="169"/>
      <c r="J1" s="169"/>
    </row>
    <row r="2" spans="1:10" ht="45" x14ac:dyDescent="0.25">
      <c r="B2" s="213" t="s">
        <v>18</v>
      </c>
      <c r="F2" s="214" t="s">
        <v>0</v>
      </c>
      <c r="G2" s="215" t="s">
        <v>10</v>
      </c>
      <c r="H2" s="216"/>
      <c r="I2" s="217" t="s">
        <v>1</v>
      </c>
      <c r="J2" s="218" t="s">
        <v>2</v>
      </c>
    </row>
    <row r="3" spans="1:10" ht="15.75" thickBot="1" x14ac:dyDescent="0.3">
      <c r="F3" s="171">
        <v>0</v>
      </c>
      <c r="G3" s="219"/>
      <c r="H3" s="173"/>
      <c r="I3" s="220"/>
      <c r="J3" s="221"/>
    </row>
    <row r="4" spans="1:10" ht="15.75" x14ac:dyDescent="0.25">
      <c r="B4" s="222" t="s">
        <v>15</v>
      </c>
      <c r="C4" s="223"/>
      <c r="F4" s="178">
        <f t="shared" ref="F4:F28" si="0">IF(F3&gt;=$C$7,"",F3+1)</f>
        <v>1</v>
      </c>
      <c r="G4" s="172">
        <f>J4*I4*12</f>
        <v>1677.7283577745466</v>
      </c>
      <c r="H4" s="173"/>
      <c r="I4" s="224">
        <f>C13/12</f>
        <v>926</v>
      </c>
      <c r="J4" s="225">
        <f>C12</f>
        <v>0.15098347352182742</v>
      </c>
    </row>
    <row r="5" spans="1:10" ht="18.75" x14ac:dyDescent="0.3">
      <c r="A5" s="169">
        <v>1</v>
      </c>
      <c r="B5" s="208" t="s">
        <v>3</v>
      </c>
      <c r="C5" s="226">
        <v>4.7500000000000001E-2</v>
      </c>
      <c r="F5" s="171">
        <f t="shared" si="0"/>
        <v>2</v>
      </c>
      <c r="G5" s="172">
        <f t="shared" ref="G5:G28" si="1">IF($F5&lt;&gt;"",I5*J5*12,"")</f>
        <v>1719.4199074652436</v>
      </c>
      <c r="H5" s="173"/>
      <c r="I5" s="174">
        <f t="shared" ref="I5:I28" si="2">IF($F5&lt;&gt;"",I4*(1-$C$6),"")</f>
        <v>921.37</v>
      </c>
      <c r="J5" s="175">
        <f t="shared" ref="J5:J28" si="3">IF($F5&lt;&gt;"",J4*(1+$C$8),"")</f>
        <v>0.15551297772748224</v>
      </c>
    </row>
    <row r="6" spans="1:10" ht="18.75" x14ac:dyDescent="0.3">
      <c r="A6" s="169">
        <v>2</v>
      </c>
      <c r="B6" s="210" t="s">
        <v>23</v>
      </c>
      <c r="C6" s="226">
        <v>5.0000000000000001E-3</v>
      </c>
      <c r="F6" s="171">
        <f t="shared" si="0"/>
        <v>3</v>
      </c>
      <c r="G6" s="172">
        <f t="shared" si="1"/>
        <v>1762.1474921657552</v>
      </c>
      <c r="H6" s="173"/>
      <c r="I6" s="174">
        <f t="shared" si="2"/>
        <v>916.76315</v>
      </c>
      <c r="J6" s="175">
        <f t="shared" si="3"/>
        <v>0.16017836705930671</v>
      </c>
    </row>
    <row r="7" spans="1:10" ht="18.75" x14ac:dyDescent="0.3">
      <c r="A7" s="169">
        <v>3</v>
      </c>
      <c r="B7" s="210" t="s">
        <v>5</v>
      </c>
      <c r="C7" s="227">
        <v>25</v>
      </c>
      <c r="F7" s="171">
        <f t="shared" si="0"/>
        <v>4</v>
      </c>
      <c r="G7" s="172">
        <f t="shared" si="1"/>
        <v>1805.9368573460742</v>
      </c>
      <c r="H7" s="173"/>
      <c r="I7" s="174">
        <f t="shared" si="2"/>
        <v>912.17933425000001</v>
      </c>
      <c r="J7" s="175">
        <f t="shared" si="3"/>
        <v>0.16498371807108592</v>
      </c>
    </row>
    <row r="8" spans="1:10" ht="19.5" thickBot="1" x14ac:dyDescent="0.35">
      <c r="A8" s="169">
        <v>4</v>
      </c>
      <c r="B8" s="228" t="s">
        <v>14</v>
      </c>
      <c r="C8" s="229">
        <v>0.03</v>
      </c>
      <c r="D8" s="169"/>
      <c r="F8" s="171">
        <f t="shared" si="0"/>
        <v>5</v>
      </c>
      <c r="G8" s="172">
        <f t="shared" si="1"/>
        <v>1850.8143882511242</v>
      </c>
      <c r="H8" s="173"/>
      <c r="I8" s="174">
        <f t="shared" si="2"/>
        <v>907.61843757874999</v>
      </c>
      <c r="J8" s="175">
        <f t="shared" si="3"/>
        <v>0.16993322961321849</v>
      </c>
    </row>
    <row r="9" spans="1:10" ht="19.5" thickBot="1" x14ac:dyDescent="0.35">
      <c r="A9" s="169"/>
      <c r="F9" s="171">
        <f t="shared" si="0"/>
        <v>6</v>
      </c>
      <c r="G9" s="172">
        <f t="shared" si="1"/>
        <v>1896.8071257991646</v>
      </c>
      <c r="H9" s="173"/>
      <c r="I9" s="174">
        <f t="shared" si="2"/>
        <v>903.08034539085622</v>
      </c>
      <c r="J9" s="175">
        <f t="shared" si="3"/>
        <v>0.17503122650161507</v>
      </c>
    </row>
    <row r="10" spans="1:10" ht="18.75" x14ac:dyDescent="0.3">
      <c r="A10" s="169"/>
      <c r="B10" s="222" t="s">
        <v>24</v>
      </c>
      <c r="C10" s="223"/>
      <c r="F10" s="178">
        <f t="shared" si="0"/>
        <v>7</v>
      </c>
      <c r="G10" s="172">
        <f t="shared" si="1"/>
        <v>1943.9427828752737</v>
      </c>
      <c r="H10" s="173"/>
      <c r="I10" s="174">
        <f t="shared" si="2"/>
        <v>898.56494366390189</v>
      </c>
      <c r="J10" s="175">
        <f t="shared" si="3"/>
        <v>0.18028216329666352</v>
      </c>
    </row>
    <row r="11" spans="1:10" ht="18.75" x14ac:dyDescent="0.3">
      <c r="A11" s="169">
        <v>5</v>
      </c>
      <c r="B11" s="210" t="s">
        <v>34</v>
      </c>
      <c r="C11" s="160" t="s">
        <v>25</v>
      </c>
      <c r="F11" s="171">
        <f t="shared" si="0"/>
        <v>8</v>
      </c>
      <c r="G11" s="172">
        <f t="shared" si="1"/>
        <v>1992.2497610297241</v>
      </c>
      <c r="H11" s="173"/>
      <c r="I11" s="174">
        <f t="shared" si="2"/>
        <v>894.07211894558236</v>
      </c>
      <c r="J11" s="175">
        <f t="shared" si="3"/>
        <v>0.18569062819556342</v>
      </c>
    </row>
    <row r="12" spans="1:10" ht="18.75" x14ac:dyDescent="0.3">
      <c r="A12" s="169">
        <v>6</v>
      </c>
      <c r="B12" s="210" t="s">
        <v>17</v>
      </c>
      <c r="C12" s="166">
        <f>VLOOKUP(C11,'Inputs (Hidden)'!A7:D10,4,FALSE)</f>
        <v>0.15098347352182742</v>
      </c>
      <c r="F12" s="171">
        <f t="shared" si="0"/>
        <v>9</v>
      </c>
      <c r="G12" s="172">
        <f t="shared" si="1"/>
        <v>2041.7571675913132</v>
      </c>
      <c r="H12" s="173"/>
      <c r="I12" s="174">
        <f t="shared" si="2"/>
        <v>889.60175835085442</v>
      </c>
      <c r="J12" s="175">
        <f t="shared" si="3"/>
        <v>0.19126134704143033</v>
      </c>
    </row>
    <row r="13" spans="1:10" ht="18.75" x14ac:dyDescent="0.3">
      <c r="A13" s="169">
        <v>7</v>
      </c>
      <c r="B13" s="210" t="s">
        <v>4</v>
      </c>
      <c r="C13" s="161">
        <v>11112</v>
      </c>
      <c r="F13" s="171">
        <f t="shared" si="0"/>
        <v>10</v>
      </c>
      <c r="G13" s="172">
        <f t="shared" si="1"/>
        <v>2092.4948332059571</v>
      </c>
      <c r="H13" s="173"/>
      <c r="I13" s="174">
        <f t="shared" si="2"/>
        <v>885.15374955910011</v>
      </c>
      <c r="J13" s="175">
        <f t="shared" si="3"/>
        <v>0.19699918745267325</v>
      </c>
    </row>
    <row r="14" spans="1:10" ht="45.75" x14ac:dyDescent="0.3">
      <c r="A14" s="169">
        <v>8</v>
      </c>
      <c r="B14" s="209" t="s">
        <v>19</v>
      </c>
      <c r="C14" s="162" t="s">
        <v>21</v>
      </c>
      <c r="D14" s="181"/>
      <c r="E14" s="169"/>
      <c r="F14" s="171">
        <f t="shared" si="0"/>
        <v>11</v>
      </c>
      <c r="G14" s="172">
        <f t="shared" si="1"/>
        <v>2144.493329811125</v>
      </c>
      <c r="H14" s="173"/>
      <c r="I14" s="174">
        <f t="shared" si="2"/>
        <v>880.72798081130463</v>
      </c>
      <c r="J14" s="175">
        <f t="shared" si="3"/>
        <v>0.20290916307625345</v>
      </c>
    </row>
    <row r="15" spans="1:10" ht="18.75" x14ac:dyDescent="0.3">
      <c r="A15" s="169">
        <v>9</v>
      </c>
      <c r="B15" s="208" t="s">
        <v>63</v>
      </c>
      <c r="C15" s="163">
        <v>0.128</v>
      </c>
      <c r="E15" s="169"/>
      <c r="F15" s="171">
        <f t="shared" si="0"/>
        <v>12</v>
      </c>
      <c r="G15" s="172">
        <f t="shared" si="1"/>
        <v>2197.7839890569317</v>
      </c>
      <c r="H15" s="173"/>
      <c r="I15" s="174">
        <f t="shared" si="2"/>
        <v>876.32434090724814</v>
      </c>
      <c r="J15" s="175">
        <f t="shared" si="3"/>
        <v>0.20899643796854106</v>
      </c>
    </row>
    <row r="16" spans="1:10" ht="18.75" x14ac:dyDescent="0.3">
      <c r="A16" s="169">
        <v>10</v>
      </c>
      <c r="B16" s="207" t="s">
        <v>72</v>
      </c>
      <c r="C16" s="164">
        <v>30000</v>
      </c>
      <c r="E16" s="169"/>
      <c r="F16" s="171">
        <f t="shared" si="0"/>
        <v>13</v>
      </c>
      <c r="G16" s="172">
        <f t="shared" si="1"/>
        <v>2252.3989211849967</v>
      </c>
      <c r="H16" s="173"/>
      <c r="I16" s="174">
        <f t="shared" si="2"/>
        <v>871.94271920271194</v>
      </c>
      <c r="J16" s="175">
        <f t="shared" si="3"/>
        <v>0.2152663311075973</v>
      </c>
    </row>
    <row r="17" spans="1:10" ht="31.5" thickBot="1" x14ac:dyDescent="0.35">
      <c r="A17" s="169">
        <v>11</v>
      </c>
      <c r="B17" s="206" t="s">
        <v>64</v>
      </c>
      <c r="C17" s="165">
        <v>5000</v>
      </c>
      <c r="E17" s="169"/>
      <c r="F17" s="171">
        <f t="shared" si="0"/>
        <v>14</v>
      </c>
      <c r="G17" s="172">
        <f t="shared" si="1"/>
        <v>2308.3710343764442</v>
      </c>
      <c r="H17" s="173"/>
      <c r="I17" s="174">
        <f t="shared" si="2"/>
        <v>867.58300560669841</v>
      </c>
      <c r="J17" s="175">
        <f t="shared" si="3"/>
        <v>0.22172432104082523</v>
      </c>
    </row>
    <row r="18" spans="1:10" ht="19.5" thickBot="1" x14ac:dyDescent="0.35">
      <c r="A18" s="169"/>
      <c r="F18" s="171">
        <f t="shared" si="0"/>
        <v>15</v>
      </c>
      <c r="G18" s="172">
        <f t="shared" si="1"/>
        <v>2365.7340545806987</v>
      </c>
      <c r="H18" s="173"/>
      <c r="I18" s="174">
        <f t="shared" si="2"/>
        <v>863.24509057866487</v>
      </c>
      <c r="J18" s="175">
        <f t="shared" si="3"/>
        <v>0.22837605067205</v>
      </c>
    </row>
    <row r="19" spans="1:10" ht="30.75" x14ac:dyDescent="0.3">
      <c r="A19" s="169">
        <v>12</v>
      </c>
      <c r="B19" s="176" t="s">
        <v>62</v>
      </c>
      <c r="C19" s="177">
        <f>(C16-C17)/C16*C15</f>
        <v>0.10666666666666667</v>
      </c>
      <c r="F19" s="178">
        <f t="shared" si="0"/>
        <v>16</v>
      </c>
      <c r="G19" s="172">
        <f t="shared" si="1"/>
        <v>2424.5225458370287</v>
      </c>
      <c r="H19" s="173"/>
      <c r="I19" s="174">
        <f t="shared" si="2"/>
        <v>858.92886512577149</v>
      </c>
      <c r="J19" s="175">
        <f t="shared" si="3"/>
        <v>0.23522733219221151</v>
      </c>
    </row>
    <row r="20" spans="1:10" ht="19.5" thickBot="1" x14ac:dyDescent="0.35">
      <c r="A20" s="169">
        <v>13</v>
      </c>
      <c r="B20" s="179" t="s">
        <v>42</v>
      </c>
      <c r="C20" s="180">
        <f>VLOOKUP(C11,'Inputs (Hidden)'!A7:D10,4,FALSE)</f>
        <v>0.15098347352182742</v>
      </c>
      <c r="D20" s="181"/>
      <c r="F20" s="171">
        <f t="shared" si="0"/>
        <v>17</v>
      </c>
      <c r="G20" s="172">
        <f t="shared" si="1"/>
        <v>2484.7719311010792</v>
      </c>
      <c r="H20" s="173"/>
      <c r="I20" s="174">
        <f t="shared" si="2"/>
        <v>854.63422080014266</v>
      </c>
      <c r="J20" s="175">
        <f t="shared" si="3"/>
        <v>0.24228415215797786</v>
      </c>
    </row>
    <row r="21" spans="1:10" ht="15" customHeight="1" thickBot="1" x14ac:dyDescent="0.35">
      <c r="A21" s="169"/>
      <c r="F21" s="171">
        <f t="shared" si="0"/>
        <v>18</v>
      </c>
      <c r="G21" s="172">
        <f t="shared" si="1"/>
        <v>2546.518513588941</v>
      </c>
      <c r="H21" s="173"/>
      <c r="I21" s="174">
        <f t="shared" si="2"/>
        <v>850.36104969614189</v>
      </c>
      <c r="J21" s="175">
        <f t="shared" si="3"/>
        <v>0.24955267672271719</v>
      </c>
    </row>
    <row r="22" spans="1:10" ht="14.45" customHeight="1" x14ac:dyDescent="0.25">
      <c r="A22" s="182">
        <v>14</v>
      </c>
      <c r="B22" s="183" t="str">
        <f>IF(C19&lt;=C20,'Inputs (Hidden)'!A13,'Inputs (Hidden)'!A14)</f>
        <v>The system design meets MEA program requirements.</v>
      </c>
      <c r="C22" s="184"/>
      <c r="F22" s="171">
        <f t="shared" si="0"/>
        <v>19</v>
      </c>
      <c r="G22" s="172">
        <f t="shared" si="1"/>
        <v>2609.799498651626</v>
      </c>
      <c r="H22" s="185"/>
      <c r="I22" s="174">
        <f t="shared" si="2"/>
        <v>846.10924444766113</v>
      </c>
      <c r="J22" s="175">
        <f t="shared" si="3"/>
        <v>0.25703925702439873</v>
      </c>
    </row>
    <row r="23" spans="1:10" s="181" customFormat="1" ht="15" customHeight="1" thickBot="1" x14ac:dyDescent="0.3">
      <c r="A23" s="182"/>
      <c r="B23" s="186"/>
      <c r="C23" s="187"/>
      <c r="F23" s="171">
        <f t="shared" si="0"/>
        <v>20</v>
      </c>
      <c r="G23" s="172">
        <f t="shared" si="1"/>
        <v>2674.6530161931191</v>
      </c>
      <c r="H23" s="173"/>
      <c r="I23" s="174">
        <f t="shared" si="2"/>
        <v>841.8786982254228</v>
      </c>
      <c r="J23" s="175">
        <f t="shared" si="3"/>
        <v>0.26475043473513071</v>
      </c>
    </row>
    <row r="24" spans="1:10" x14ac:dyDescent="0.25">
      <c r="F24" s="171">
        <f t="shared" si="0"/>
        <v>21</v>
      </c>
      <c r="G24" s="172">
        <f t="shared" si="1"/>
        <v>2741.1181436455186</v>
      </c>
      <c r="H24" s="173"/>
      <c r="I24" s="174">
        <f t="shared" si="2"/>
        <v>837.66930473429568</v>
      </c>
      <c r="J24" s="175">
        <f t="shared" si="3"/>
        <v>0.27269294777718467</v>
      </c>
    </row>
    <row r="25" spans="1:10" x14ac:dyDescent="0.25">
      <c r="F25" s="171">
        <f t="shared" si="0"/>
        <v>22</v>
      </c>
      <c r="G25" s="172">
        <f t="shared" si="1"/>
        <v>2809.2349295151098</v>
      </c>
      <c r="H25" s="173"/>
      <c r="I25" s="174">
        <f t="shared" si="2"/>
        <v>833.48095821062418</v>
      </c>
      <c r="J25" s="175">
        <f t="shared" si="3"/>
        <v>0.28087373621050021</v>
      </c>
    </row>
    <row r="26" spans="1:10" x14ac:dyDescent="0.25">
      <c r="F26" s="171">
        <f t="shared" si="0"/>
        <v>23</v>
      </c>
      <c r="G26" s="172">
        <f t="shared" si="1"/>
        <v>2879.0444175135599</v>
      </c>
      <c r="H26" s="173"/>
      <c r="I26" s="174">
        <f t="shared" si="2"/>
        <v>829.31355341957101</v>
      </c>
      <c r="J26" s="175">
        <f t="shared" si="3"/>
        <v>0.28929994829681521</v>
      </c>
    </row>
    <row r="27" spans="1:10" ht="18.75" x14ac:dyDescent="0.3">
      <c r="A27" s="169"/>
      <c r="F27" s="171">
        <f t="shared" si="0"/>
        <v>24</v>
      </c>
      <c r="G27" s="172">
        <f t="shared" si="1"/>
        <v>2950.5886712887723</v>
      </c>
      <c r="H27" s="173"/>
      <c r="I27" s="174">
        <f t="shared" si="2"/>
        <v>825.16698565247316</v>
      </c>
      <c r="J27" s="175">
        <f t="shared" si="3"/>
        <v>0.29797894674571967</v>
      </c>
    </row>
    <row r="28" spans="1:10" ht="19.5" thickBot="1" x14ac:dyDescent="0.35">
      <c r="A28" s="169"/>
      <c r="F28" s="189">
        <f t="shared" si="0"/>
        <v>25</v>
      </c>
      <c r="G28" s="190">
        <f t="shared" si="1"/>
        <v>3023.9107997702977</v>
      </c>
      <c r="H28" s="191"/>
      <c r="I28" s="192">
        <f t="shared" si="2"/>
        <v>821.04115072421075</v>
      </c>
      <c r="J28" s="193">
        <f t="shared" si="3"/>
        <v>0.30691831514809126</v>
      </c>
    </row>
    <row r="29" spans="1:10" s="181" customFormat="1" ht="19.5" thickBot="1" x14ac:dyDescent="0.35">
      <c r="A29" s="169"/>
      <c r="F29" s="170"/>
      <c r="G29" s="170"/>
      <c r="H29" s="170"/>
      <c r="I29" s="170"/>
      <c r="J29" s="170"/>
    </row>
    <row r="30" spans="1:10" x14ac:dyDescent="0.25">
      <c r="F30" s="194" t="s">
        <v>44</v>
      </c>
      <c r="G30" s="195"/>
    </row>
    <row r="31" spans="1:10" x14ac:dyDescent="0.25">
      <c r="F31" s="196" t="s">
        <v>6</v>
      </c>
      <c r="G31" s="197"/>
    </row>
    <row r="32" spans="1:10" ht="15.75" thickBot="1" x14ac:dyDescent="0.3">
      <c r="F32" s="198">
        <f>NPV(C5,G3:G28)</f>
        <v>31186.411297846877</v>
      </c>
      <c r="G32" s="199"/>
    </row>
    <row r="39" spans="1:6" x14ac:dyDescent="0.25">
      <c r="A39" s="200"/>
      <c r="D39" s="201"/>
      <c r="E39" s="201"/>
    </row>
    <row r="40" spans="1:6" x14ac:dyDescent="0.25">
      <c r="F40" s="202"/>
    </row>
    <row r="41" spans="1:6" x14ac:dyDescent="0.25">
      <c r="E41" s="203"/>
    </row>
    <row r="42" spans="1:6" x14ac:dyDescent="0.25">
      <c r="F42" s="202"/>
    </row>
    <row r="44" spans="1:6" x14ac:dyDescent="0.25">
      <c r="C44" s="204"/>
    </row>
    <row r="47" spans="1:6" x14ac:dyDescent="0.25">
      <c r="B47" s="205"/>
      <c r="F47" s="202"/>
    </row>
    <row r="48" spans="1:6" x14ac:dyDescent="0.25">
      <c r="B48" s="170" t="s">
        <v>33</v>
      </c>
    </row>
  </sheetData>
  <sheetProtection algorithmName="SHA-512" hashValue="ltaa34BdCdJXDA+UxNv4bcooXXIGCRbnY3ttaRKhR6FgXnfbtVGn8Y69PaTNy2y7kY82OOzZZaKd7X0R45KdFA==" saltValue="wy/MA3JpWHI+peO7Y6PmcA==" spinCount="100000" sheet="1" objects="1" scenarios="1" selectLockedCells="1"/>
  <protectedRanges>
    <protectedRange sqref="C12:C13" name="Inputs"/>
    <protectedRange sqref="C15" name="Inputs_1"/>
  </protectedRanges>
  <mergeCells count="5">
    <mergeCell ref="B22:C23"/>
    <mergeCell ref="F30:G30"/>
    <mergeCell ref="F31:G31"/>
    <mergeCell ref="F32:G32"/>
    <mergeCell ref="A22:A23"/>
  </mergeCells>
  <conditionalFormatting sqref="C15">
    <cfRule type="cellIs" dxfId="1" priority="2" operator="lessThan">
      <formula>0</formula>
    </cfRule>
  </conditionalFormatting>
  <pageMargins left="0.25" right="0.25" top="0.75" bottom="0.75" header="0.3" footer="0.3"/>
  <pageSetup scale="6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3C70A53-4FCC-4F97-99C9-535E58A5286D}">
          <x14:formula1>
            <xm:f>'Inputs (Hidden)'!$A$7:$A$10</xm:f>
          </x14:formula1>
          <xm:sqref>C11</xm:sqref>
        </x14:dataValidation>
        <x14:dataValidation type="list" allowBlank="1" showInputMessage="1" showErrorMessage="1" xr:uid="{B5D5A168-DC6A-4381-BF25-2E36181B9012}">
          <x14:formula1>
            <xm:f>'Inputs (Hidden)'!$A$3:$A$4</xm:f>
          </x14:formula1>
          <xm:sqref>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DC370-78F7-4578-93B2-56DBD8AF5509}">
  <dimension ref="A1:L56"/>
  <sheetViews>
    <sheetView showGridLines="0" zoomScaleNormal="100" workbookViewId="0">
      <selection activeCell="C10" sqref="C10"/>
    </sheetView>
  </sheetViews>
  <sheetFormatPr defaultColWidth="10" defaultRowHeight="15" x14ac:dyDescent="0.25"/>
  <cols>
    <col min="1" max="1" width="6.28515625" style="1" customWidth="1"/>
    <col min="2" max="2" width="64.42578125" bestFit="1" customWidth="1"/>
    <col min="3" max="3" width="11.28515625" bestFit="1" customWidth="1"/>
    <col min="4" max="4" width="6.85546875" customWidth="1"/>
    <col min="5" max="6" width="12.7109375" style="1" customWidth="1"/>
    <col min="7" max="7" width="9.7109375" style="1" bestFit="1" customWidth="1"/>
    <col min="8" max="8" width="1.28515625" customWidth="1"/>
    <col min="9" max="10" width="12.7109375" customWidth="1"/>
    <col min="11" max="11" width="4.85546875" customWidth="1"/>
    <col min="12" max="12" width="5.28515625" customWidth="1"/>
    <col min="13" max="13" width="6.7109375" customWidth="1"/>
  </cols>
  <sheetData>
    <row r="1" spans="1:12" ht="19.5" thickBot="1" x14ac:dyDescent="0.35">
      <c r="B1" s="6" t="s">
        <v>40</v>
      </c>
      <c r="F1" s="25"/>
      <c r="G1" s="25"/>
      <c r="H1" s="26"/>
      <c r="I1" s="25"/>
      <c r="J1" s="25"/>
    </row>
    <row r="2" spans="1:12" ht="45.75" thickBot="1" x14ac:dyDescent="0.3">
      <c r="B2" s="29" t="s">
        <v>18</v>
      </c>
      <c r="E2" s="3" t="s">
        <v>0</v>
      </c>
      <c r="F2" s="13" t="s">
        <v>10</v>
      </c>
      <c r="G2" s="14" t="s">
        <v>11</v>
      </c>
      <c r="H2" s="16"/>
      <c r="I2" s="15" t="s">
        <v>1</v>
      </c>
      <c r="J2" s="30" t="s">
        <v>2</v>
      </c>
    </row>
    <row r="3" spans="1:12" ht="15.75" x14ac:dyDescent="0.25">
      <c r="B3" s="7" t="s">
        <v>15</v>
      </c>
      <c r="C3" s="8"/>
      <c r="E3" s="34">
        <v>0</v>
      </c>
      <c r="F3" s="35"/>
      <c r="G3" s="36"/>
      <c r="H3" s="37"/>
      <c r="I3" s="36"/>
      <c r="J3" s="38"/>
      <c r="L3" s="22"/>
    </row>
    <row r="4" spans="1:12" ht="18.75" x14ac:dyDescent="0.3">
      <c r="A4" s="25"/>
      <c r="B4" s="2" t="s">
        <v>3</v>
      </c>
      <c r="C4" s="53">
        <v>4.7500000000000001E-2</v>
      </c>
      <c r="E4" s="39">
        <f t="shared" ref="E4:E28" si="0">IF(E3&gt;=$C$6,"",E3+1)</f>
        <v>1</v>
      </c>
      <c r="F4" s="40">
        <f>J4*I4*12</f>
        <v>1677.7283577745466</v>
      </c>
      <c r="G4" s="41">
        <f>C20*12</f>
        <v>1587.7452049132539</v>
      </c>
      <c r="H4" s="37"/>
      <c r="I4" s="42">
        <f>C12/12</f>
        <v>926</v>
      </c>
      <c r="J4" s="43">
        <f>C11</f>
        <v>0.15098347352182742</v>
      </c>
      <c r="L4" s="23"/>
    </row>
    <row r="5" spans="1:12" ht="18.75" x14ac:dyDescent="0.3">
      <c r="A5" s="25"/>
      <c r="B5" s="9" t="s">
        <v>16</v>
      </c>
      <c r="C5" s="53">
        <v>5.0000000000000001E-3</v>
      </c>
      <c r="E5" s="34">
        <f t="shared" si="0"/>
        <v>2</v>
      </c>
      <c r="F5" s="40">
        <f t="shared" ref="F5:F28" si="1">IF($E5&lt;&gt;"",I5*J5*12,"")</f>
        <v>1719.4199074652436</v>
      </c>
      <c r="G5" s="41">
        <f t="shared" ref="G5:G28" si="2">IF($E5&lt;&gt;"",G4*(1+$C$16),"")</f>
        <v>1635.3775610606515</v>
      </c>
      <c r="H5" s="37"/>
      <c r="I5" s="44">
        <f t="shared" ref="I5:I28" si="3">IF($E5&lt;&gt;"",I4*(1-$C$5),"")</f>
        <v>921.37</v>
      </c>
      <c r="J5" s="45">
        <f t="shared" ref="J5:J28" si="4">IF($E5&lt;&gt;"",J4*(1+$C$7),"")</f>
        <v>0.15551297772748224</v>
      </c>
      <c r="L5" s="20"/>
    </row>
    <row r="6" spans="1:12" ht="18.75" x14ac:dyDescent="0.3">
      <c r="A6" s="25"/>
      <c r="B6" s="9" t="s">
        <v>39</v>
      </c>
      <c r="C6" s="33">
        <v>25</v>
      </c>
      <c r="E6" s="34">
        <f t="shared" si="0"/>
        <v>3</v>
      </c>
      <c r="F6" s="40">
        <f t="shared" si="1"/>
        <v>1762.1474921657552</v>
      </c>
      <c r="G6" s="41">
        <f t="shared" si="2"/>
        <v>1684.438887892471</v>
      </c>
      <c r="H6" s="37"/>
      <c r="I6" s="44">
        <f t="shared" si="3"/>
        <v>916.76315</v>
      </c>
      <c r="J6" s="45">
        <f t="shared" si="4"/>
        <v>0.16017836705930671</v>
      </c>
    </row>
    <row r="7" spans="1:12" ht="19.5" thickBot="1" x14ac:dyDescent="0.35">
      <c r="A7" s="25"/>
      <c r="B7" s="10" t="s">
        <v>14</v>
      </c>
      <c r="C7" s="58">
        <v>0.03</v>
      </c>
      <c r="E7" s="34">
        <f t="shared" si="0"/>
        <v>4</v>
      </c>
      <c r="F7" s="40">
        <f t="shared" si="1"/>
        <v>1805.9368573460742</v>
      </c>
      <c r="G7" s="41">
        <f t="shared" si="2"/>
        <v>1734.9720545292453</v>
      </c>
      <c r="H7" s="37"/>
      <c r="I7" s="44">
        <f t="shared" si="3"/>
        <v>912.17933425000001</v>
      </c>
      <c r="J7" s="45">
        <f t="shared" si="4"/>
        <v>0.16498371807108592</v>
      </c>
    </row>
    <row r="8" spans="1:12" ht="19.5" thickBot="1" x14ac:dyDescent="0.35">
      <c r="A8" s="25"/>
      <c r="E8" s="34">
        <f t="shared" si="0"/>
        <v>5</v>
      </c>
      <c r="F8" s="40">
        <f t="shared" si="1"/>
        <v>1850.8143882511242</v>
      </c>
      <c r="G8" s="41">
        <f t="shared" si="2"/>
        <v>1787.0212161651227</v>
      </c>
      <c r="H8" s="37"/>
      <c r="I8" s="44">
        <f t="shared" si="3"/>
        <v>907.61843757874999</v>
      </c>
      <c r="J8" s="45">
        <f t="shared" si="4"/>
        <v>0.16993322961321849</v>
      </c>
    </row>
    <row r="9" spans="1:12" ht="18.75" x14ac:dyDescent="0.3">
      <c r="A9" s="25"/>
      <c r="B9" s="7" t="s">
        <v>45</v>
      </c>
      <c r="C9" s="8"/>
      <c r="E9" s="34">
        <f t="shared" si="0"/>
        <v>6</v>
      </c>
      <c r="F9" s="40">
        <f t="shared" si="1"/>
        <v>1896.8071257991646</v>
      </c>
      <c r="G9" s="41">
        <f t="shared" si="2"/>
        <v>1840.6318526500766</v>
      </c>
      <c r="H9" s="37"/>
      <c r="I9" s="44">
        <f t="shared" si="3"/>
        <v>903.08034539085622</v>
      </c>
      <c r="J9" s="45">
        <f t="shared" si="4"/>
        <v>0.17503122650161507</v>
      </c>
    </row>
    <row r="10" spans="1:12" ht="18.75" x14ac:dyDescent="0.3">
      <c r="A10" s="25"/>
      <c r="B10" s="9" t="s">
        <v>34</v>
      </c>
      <c r="C10" s="160" t="s">
        <v>25</v>
      </c>
      <c r="E10" s="39">
        <f t="shared" si="0"/>
        <v>7</v>
      </c>
      <c r="F10" s="40">
        <f t="shared" si="1"/>
        <v>1943.9427828752737</v>
      </c>
      <c r="G10" s="41">
        <f t="shared" si="2"/>
        <v>1895.8508082295789</v>
      </c>
      <c r="H10" s="37"/>
      <c r="I10" s="44">
        <f t="shared" si="3"/>
        <v>898.56494366390189</v>
      </c>
      <c r="J10" s="45">
        <f t="shared" si="4"/>
        <v>0.18028216329666352</v>
      </c>
    </row>
    <row r="11" spans="1:12" ht="18.75" x14ac:dyDescent="0.3">
      <c r="A11" s="25"/>
      <c r="B11" s="9" t="s">
        <v>17</v>
      </c>
      <c r="C11" s="59">
        <f>VLOOKUP(C10,'Inputs (Hidden)'!A7:D10,4,FALSE)</f>
        <v>0.15098347352182742</v>
      </c>
      <c r="E11" s="34">
        <f t="shared" si="0"/>
        <v>8</v>
      </c>
      <c r="F11" s="40">
        <f t="shared" si="1"/>
        <v>1992.2497610297241</v>
      </c>
      <c r="G11" s="41">
        <f t="shared" si="2"/>
        <v>1952.7263324764663</v>
      </c>
      <c r="H11" s="37"/>
      <c r="I11" s="44">
        <f t="shared" si="3"/>
        <v>894.07211894558236</v>
      </c>
      <c r="J11" s="45">
        <f t="shared" si="4"/>
        <v>0.18569062819556342</v>
      </c>
    </row>
    <row r="12" spans="1:12" ht="18.75" x14ac:dyDescent="0.3">
      <c r="A12" s="25"/>
      <c r="B12" s="9" t="s">
        <v>4</v>
      </c>
      <c r="C12" s="161">
        <v>11112</v>
      </c>
      <c r="E12" s="34">
        <f t="shared" si="0"/>
        <v>9</v>
      </c>
      <c r="F12" s="40">
        <f t="shared" si="1"/>
        <v>2041.7571675913132</v>
      </c>
      <c r="G12" s="41">
        <f t="shared" si="2"/>
        <v>2011.3081224507603</v>
      </c>
      <c r="H12" s="37"/>
      <c r="I12" s="44">
        <f t="shared" si="3"/>
        <v>889.60175835085442</v>
      </c>
      <c r="J12" s="45">
        <f t="shared" si="4"/>
        <v>0.19126134704143033</v>
      </c>
    </row>
    <row r="13" spans="1:12" ht="45.75" x14ac:dyDescent="0.3">
      <c r="A13" s="25"/>
      <c r="B13" s="60" t="s">
        <v>35</v>
      </c>
      <c r="C13" s="162" t="s">
        <v>21</v>
      </c>
      <c r="E13" s="34">
        <f t="shared" si="0"/>
        <v>10</v>
      </c>
      <c r="F13" s="40">
        <f t="shared" si="1"/>
        <v>2092.4948332059571</v>
      </c>
      <c r="G13" s="41">
        <f t="shared" si="2"/>
        <v>2071.6473661242831</v>
      </c>
      <c r="H13" s="37"/>
      <c r="I13" s="44">
        <f t="shared" si="3"/>
        <v>885.15374955910011</v>
      </c>
      <c r="J13" s="45">
        <f t="shared" si="4"/>
        <v>0.19699918745267325</v>
      </c>
    </row>
    <row r="14" spans="1:12" ht="18.75" x14ac:dyDescent="0.3">
      <c r="A14" s="25"/>
      <c r="B14" s="61" t="s">
        <v>73</v>
      </c>
      <c r="C14" s="164">
        <v>35000</v>
      </c>
      <c r="E14" s="34">
        <f t="shared" si="0"/>
        <v>11</v>
      </c>
      <c r="F14" s="40">
        <f t="shared" si="1"/>
        <v>2144.493329811125</v>
      </c>
      <c r="G14" s="41">
        <f t="shared" si="2"/>
        <v>2133.7967871080118</v>
      </c>
      <c r="H14" s="37"/>
      <c r="I14" s="44">
        <f t="shared" si="3"/>
        <v>880.72798081130463</v>
      </c>
      <c r="J14" s="45">
        <f t="shared" si="4"/>
        <v>0.20290916307625345</v>
      </c>
    </row>
    <row r="15" spans="1:12" ht="30.75" x14ac:dyDescent="0.3">
      <c r="A15" s="25"/>
      <c r="B15" s="60" t="s">
        <v>36</v>
      </c>
      <c r="C15" s="164">
        <v>2500</v>
      </c>
      <c r="E15" s="34">
        <f t="shared" si="0"/>
        <v>12</v>
      </c>
      <c r="F15" s="40">
        <f t="shared" si="1"/>
        <v>2197.7839890569317</v>
      </c>
      <c r="G15" s="41">
        <f t="shared" si="2"/>
        <v>2197.8106907212523</v>
      </c>
      <c r="H15" s="37"/>
      <c r="I15" s="44">
        <f t="shared" si="3"/>
        <v>876.32434090724814</v>
      </c>
      <c r="J15" s="45">
        <f t="shared" si="4"/>
        <v>0.20899643796854106</v>
      </c>
    </row>
    <row r="16" spans="1:12" ht="18.75" x14ac:dyDescent="0.3">
      <c r="A16" s="25"/>
      <c r="B16" s="9" t="s">
        <v>9</v>
      </c>
      <c r="C16" s="167">
        <v>0.03</v>
      </c>
      <c r="E16" s="34">
        <f t="shared" si="0"/>
        <v>13</v>
      </c>
      <c r="F16" s="40">
        <f t="shared" si="1"/>
        <v>2252.3989211849967</v>
      </c>
      <c r="G16" s="41">
        <f t="shared" si="2"/>
        <v>2263.7450114428898</v>
      </c>
      <c r="H16" s="37"/>
      <c r="I16" s="44">
        <f t="shared" si="3"/>
        <v>871.94271920271194</v>
      </c>
      <c r="J16" s="45">
        <f t="shared" si="4"/>
        <v>0.2152663311075973</v>
      </c>
    </row>
    <row r="17" spans="1:10" ht="15.75" thickBot="1" x14ac:dyDescent="0.3">
      <c r="A17" s="5"/>
      <c r="B17" s="64" t="s">
        <v>38</v>
      </c>
      <c r="C17" s="168">
        <v>155.75</v>
      </c>
      <c r="E17" s="34">
        <f t="shared" si="0"/>
        <v>14</v>
      </c>
      <c r="F17" s="40">
        <f t="shared" si="1"/>
        <v>2308.3710343764442</v>
      </c>
      <c r="G17" s="41">
        <f t="shared" si="2"/>
        <v>2331.6573617861764</v>
      </c>
      <c r="H17" s="37"/>
      <c r="I17" s="44">
        <f t="shared" si="3"/>
        <v>867.58300560669841</v>
      </c>
      <c r="J17" s="45">
        <f t="shared" si="4"/>
        <v>0.22172432104082523</v>
      </c>
    </row>
    <row r="18" spans="1:10" ht="15.75" thickBot="1" x14ac:dyDescent="0.3">
      <c r="A18" s="5"/>
      <c r="E18" s="34">
        <f t="shared" si="0"/>
        <v>15</v>
      </c>
      <c r="F18" s="40">
        <f t="shared" si="1"/>
        <v>2365.7340545806987</v>
      </c>
      <c r="G18" s="41">
        <f t="shared" si="2"/>
        <v>2401.6070826397618</v>
      </c>
      <c r="H18" s="37"/>
      <c r="I18" s="44">
        <f t="shared" si="3"/>
        <v>863.24509057866487</v>
      </c>
      <c r="J18" s="45">
        <f t="shared" si="4"/>
        <v>0.22837605067205</v>
      </c>
    </row>
    <row r="19" spans="1:10" ht="45" x14ac:dyDescent="0.25">
      <c r="A19" s="5"/>
      <c r="B19" s="62" t="s">
        <v>61</v>
      </c>
      <c r="C19" s="65">
        <f>(C14-C15)/C14*C17</f>
        <v>144.625</v>
      </c>
      <c r="E19" s="39">
        <f t="shared" si="0"/>
        <v>16</v>
      </c>
      <c r="F19" s="40">
        <f t="shared" si="1"/>
        <v>2424.5225458370287</v>
      </c>
      <c r="G19" s="41">
        <f t="shared" si="2"/>
        <v>2473.6552951189547</v>
      </c>
      <c r="H19" s="37"/>
      <c r="I19" s="44">
        <f t="shared" si="3"/>
        <v>858.92886512577149</v>
      </c>
      <c r="J19" s="45">
        <f t="shared" si="4"/>
        <v>0.23522733219221151</v>
      </c>
    </row>
    <row r="20" spans="1:10" ht="30.75" thickBot="1" x14ac:dyDescent="0.3">
      <c r="A20" s="5"/>
      <c r="B20" s="66" t="s">
        <v>43</v>
      </c>
      <c r="C20" s="67">
        <f>(NPV(C4,F4:F28)*(C4-C16)/(1-(1+C16)^C6*(1+C4)^-C6)/12)</f>
        <v>132.31210040943782</v>
      </c>
      <c r="E20" s="34">
        <f t="shared" si="0"/>
        <v>17</v>
      </c>
      <c r="F20" s="40">
        <f t="shared" si="1"/>
        <v>2484.7719311010792</v>
      </c>
      <c r="G20" s="41">
        <f t="shared" si="2"/>
        <v>2547.8649539725234</v>
      </c>
      <c r="H20" s="37"/>
      <c r="I20" s="44">
        <f t="shared" si="3"/>
        <v>854.63422080014266</v>
      </c>
      <c r="J20" s="45">
        <f t="shared" si="4"/>
        <v>0.24228415215797786</v>
      </c>
    </row>
    <row r="21" spans="1:10" ht="15.75" thickBot="1" x14ac:dyDescent="0.3">
      <c r="A21" s="5"/>
      <c r="E21" s="34">
        <f t="shared" si="0"/>
        <v>18</v>
      </c>
      <c r="F21" s="40">
        <f t="shared" si="1"/>
        <v>2546.518513588941</v>
      </c>
      <c r="G21" s="41">
        <f t="shared" si="2"/>
        <v>2624.300902591699</v>
      </c>
      <c r="H21" s="37"/>
      <c r="I21" s="44">
        <f t="shared" si="3"/>
        <v>850.36104969614189</v>
      </c>
      <c r="J21" s="45">
        <f t="shared" si="4"/>
        <v>0.24955267672271719</v>
      </c>
    </row>
    <row r="22" spans="1:10" x14ac:dyDescent="0.25">
      <c r="A22" s="5"/>
      <c r="B22" s="153" t="str">
        <f>IF(C19&lt;=C20,'Inputs (Hidden)'!A13,'Inputs (Hidden)'!A14)</f>
        <v>The system design does not meet MEA program requirements.</v>
      </c>
      <c r="C22" s="154"/>
      <c r="E22" s="34">
        <f t="shared" si="0"/>
        <v>19</v>
      </c>
      <c r="F22" s="40">
        <f t="shared" si="1"/>
        <v>2609.799498651626</v>
      </c>
      <c r="G22" s="41">
        <f t="shared" si="2"/>
        <v>2703.0299296694502</v>
      </c>
      <c r="H22" s="46"/>
      <c r="I22" s="44">
        <f t="shared" si="3"/>
        <v>846.10924444766113</v>
      </c>
      <c r="J22" s="45">
        <f t="shared" si="4"/>
        <v>0.25703925702439873</v>
      </c>
    </row>
    <row r="23" spans="1:10" s="5" customFormat="1" ht="15.75" thickBot="1" x14ac:dyDescent="0.3">
      <c r="B23" s="155"/>
      <c r="C23" s="156"/>
      <c r="E23" s="34">
        <f t="shared" si="0"/>
        <v>20</v>
      </c>
      <c r="F23" s="40">
        <f t="shared" si="1"/>
        <v>2674.6530161931191</v>
      </c>
      <c r="G23" s="41">
        <f t="shared" si="2"/>
        <v>2784.1208275595336</v>
      </c>
      <c r="H23" s="37"/>
      <c r="I23" s="44">
        <f t="shared" si="3"/>
        <v>841.8786982254228</v>
      </c>
      <c r="J23" s="45">
        <f t="shared" si="4"/>
        <v>0.26475043473513071</v>
      </c>
    </row>
    <row r="24" spans="1:10" x14ac:dyDescent="0.25">
      <c r="A24" s="5"/>
      <c r="E24" s="34">
        <f t="shared" si="0"/>
        <v>21</v>
      </c>
      <c r="F24" s="40">
        <f t="shared" si="1"/>
        <v>2741.1181436455186</v>
      </c>
      <c r="G24" s="41">
        <f t="shared" si="2"/>
        <v>2867.6444523863197</v>
      </c>
      <c r="H24" s="37"/>
      <c r="I24" s="44">
        <f t="shared" si="3"/>
        <v>837.66930473429568</v>
      </c>
      <c r="J24" s="45">
        <f t="shared" si="4"/>
        <v>0.27269294777718467</v>
      </c>
    </row>
    <row r="25" spans="1:10" x14ac:dyDescent="0.25">
      <c r="A25" s="5"/>
      <c r="E25" s="34">
        <f t="shared" si="0"/>
        <v>22</v>
      </c>
      <c r="F25" s="40">
        <f t="shared" si="1"/>
        <v>2809.2349295151098</v>
      </c>
      <c r="G25" s="41">
        <f t="shared" si="2"/>
        <v>2953.6737859579093</v>
      </c>
      <c r="H25" s="37"/>
      <c r="I25" s="44">
        <f t="shared" si="3"/>
        <v>833.48095821062418</v>
      </c>
      <c r="J25" s="45">
        <f t="shared" si="4"/>
        <v>0.28087373621050021</v>
      </c>
    </row>
    <row r="26" spans="1:10" x14ac:dyDescent="0.25">
      <c r="A26" s="5"/>
      <c r="E26" s="34">
        <f t="shared" si="0"/>
        <v>23</v>
      </c>
      <c r="F26" s="40">
        <f t="shared" si="1"/>
        <v>2879.0444175135599</v>
      </c>
      <c r="G26" s="41">
        <f t="shared" si="2"/>
        <v>3042.2839995366467</v>
      </c>
      <c r="H26" s="37"/>
      <c r="I26" s="44">
        <f t="shared" si="3"/>
        <v>829.31355341957101</v>
      </c>
      <c r="J26" s="45">
        <f t="shared" si="4"/>
        <v>0.28929994829681521</v>
      </c>
    </row>
    <row r="27" spans="1:10" x14ac:dyDescent="0.25">
      <c r="A27" s="5"/>
      <c r="E27" s="34">
        <f t="shared" si="0"/>
        <v>24</v>
      </c>
      <c r="F27" s="40">
        <f t="shared" si="1"/>
        <v>2950.5886712887723</v>
      </c>
      <c r="G27" s="41">
        <f t="shared" si="2"/>
        <v>3133.552519522746</v>
      </c>
      <c r="H27" s="37"/>
      <c r="I27" s="44">
        <f t="shared" si="3"/>
        <v>825.16698565247316</v>
      </c>
      <c r="J27" s="45">
        <f t="shared" si="4"/>
        <v>0.29797894674571967</v>
      </c>
    </row>
    <row r="28" spans="1:10" ht="15.75" thickBot="1" x14ac:dyDescent="0.3">
      <c r="A28" s="5"/>
      <c r="E28" s="47">
        <f t="shared" si="0"/>
        <v>25</v>
      </c>
      <c r="F28" s="48">
        <f t="shared" si="1"/>
        <v>3023.9107997702977</v>
      </c>
      <c r="G28" s="49">
        <f t="shared" si="2"/>
        <v>3227.5590951084287</v>
      </c>
      <c r="H28" s="50"/>
      <c r="I28" s="51">
        <f t="shared" si="3"/>
        <v>821.04115072421075</v>
      </c>
      <c r="J28" s="52">
        <f t="shared" si="4"/>
        <v>0.30691831514809126</v>
      </c>
    </row>
    <row r="29" spans="1:10" s="5" customFormat="1" ht="15.75" thickBot="1" x14ac:dyDescent="0.3">
      <c r="B29"/>
      <c r="C29"/>
      <c r="D29"/>
      <c r="E29"/>
      <c r="F29"/>
      <c r="G29"/>
      <c r="H29"/>
      <c r="I29"/>
      <c r="J29"/>
    </row>
    <row r="30" spans="1:10" ht="32.450000000000003" customHeight="1" x14ac:dyDescent="0.25">
      <c r="A30" s="5"/>
      <c r="F30" s="157" t="s">
        <v>44</v>
      </c>
      <c r="G30" s="158"/>
    </row>
    <row r="31" spans="1:10" ht="18.75" x14ac:dyDescent="0.3">
      <c r="E31" s="25"/>
      <c r="F31" s="11" t="s">
        <v>6</v>
      </c>
      <c r="G31" s="12" t="s">
        <v>7</v>
      </c>
      <c r="H31" s="5"/>
      <c r="I31" s="5"/>
      <c r="J31" s="5"/>
    </row>
    <row r="32" spans="1:10" s="5" customFormat="1" ht="15.75" thickBot="1" x14ac:dyDescent="0.3">
      <c r="A32" s="27"/>
      <c r="B32"/>
      <c r="C32"/>
      <c r="D32"/>
      <c r="E32" s="1"/>
      <c r="F32" s="31">
        <f>NPV(C4,F3:F28)</f>
        <v>31186.411297846877</v>
      </c>
      <c r="G32" s="32">
        <f>NPV(C4,G3:G28)</f>
        <v>31186.411297846662</v>
      </c>
      <c r="H32"/>
      <c r="I32"/>
      <c r="J32"/>
    </row>
    <row r="33" spans="1:7" x14ac:dyDescent="0.25">
      <c r="F33" s="17"/>
      <c r="G33"/>
    </row>
    <row r="34" spans="1:7" x14ac:dyDescent="0.25">
      <c r="G34"/>
    </row>
    <row r="35" spans="1:7" x14ac:dyDescent="0.25">
      <c r="G35"/>
    </row>
    <row r="36" spans="1:7" x14ac:dyDescent="0.25">
      <c r="F36" s="19"/>
      <c r="G36"/>
    </row>
    <row r="37" spans="1:7" x14ac:dyDescent="0.25">
      <c r="G37"/>
    </row>
    <row r="38" spans="1:7" x14ac:dyDescent="0.25">
      <c r="G38"/>
    </row>
    <row r="39" spans="1:7" x14ac:dyDescent="0.25">
      <c r="G39"/>
    </row>
    <row r="40" spans="1:7" x14ac:dyDescent="0.25">
      <c r="G40"/>
    </row>
    <row r="41" spans="1:7" x14ac:dyDescent="0.25">
      <c r="G41"/>
    </row>
    <row r="42" spans="1:7" x14ac:dyDescent="0.25">
      <c r="G42"/>
    </row>
    <row r="43" spans="1:7" x14ac:dyDescent="0.25">
      <c r="A43" s="28"/>
      <c r="D43" s="20"/>
      <c r="G43"/>
    </row>
    <row r="44" spans="1:7" x14ac:dyDescent="0.25">
      <c r="B44" s="4"/>
      <c r="C44" s="4"/>
      <c r="E44" s="19"/>
      <c r="G44"/>
    </row>
    <row r="45" spans="1:7" x14ac:dyDescent="0.25">
      <c r="B45" s="21"/>
      <c r="C45" s="4"/>
      <c r="G45"/>
    </row>
    <row r="46" spans="1:7" x14ac:dyDescent="0.25">
      <c r="E46" s="19"/>
      <c r="G46"/>
    </row>
    <row r="47" spans="1:7" x14ac:dyDescent="0.25">
      <c r="G47"/>
    </row>
    <row r="48" spans="1:7" x14ac:dyDescent="0.25">
      <c r="C48" s="18"/>
      <c r="G48"/>
    </row>
    <row r="49" spans="3:7" x14ac:dyDescent="0.25">
      <c r="G49"/>
    </row>
    <row r="50" spans="3:7" x14ac:dyDescent="0.25">
      <c r="C50" s="4"/>
      <c r="G50"/>
    </row>
    <row r="51" spans="3:7" x14ac:dyDescent="0.25">
      <c r="E51" s="19"/>
      <c r="G51"/>
    </row>
    <row r="52" spans="3:7" x14ac:dyDescent="0.25">
      <c r="G52"/>
    </row>
    <row r="53" spans="3:7" x14ac:dyDescent="0.25">
      <c r="G53" s="19"/>
    </row>
    <row r="54" spans="3:7" x14ac:dyDescent="0.25">
      <c r="G54" s="19"/>
    </row>
    <row r="55" spans="3:7" x14ac:dyDescent="0.25">
      <c r="G55" s="19"/>
    </row>
    <row r="56" spans="3:7" x14ac:dyDescent="0.25">
      <c r="G56" s="19"/>
    </row>
  </sheetData>
  <sheetProtection algorithmName="SHA-512" hashValue="CKPo598GXKpUbZkF1qNbBUeIh7pPnPy9XH5F8zs6enRqiNfZ7fbTm7OtlcHx4EXODyc7f6akWjWyAwRH90nHZg==" saltValue="+SMR8XkMq02mclX3+d66gw==" spinCount="100000" sheet="1" objects="1" scenarios="1" selectLockedCells="1"/>
  <protectedRanges>
    <protectedRange sqref="C16 C11:C12" name="Inputs"/>
    <protectedRange sqref="C17" name="Inputs_1"/>
  </protectedRanges>
  <mergeCells count="2">
    <mergeCell ref="F30:G30"/>
    <mergeCell ref="B22:C23"/>
  </mergeCells>
  <conditionalFormatting sqref="C17">
    <cfRule type="cellIs" dxfId="0" priority="1" operator="lessThan">
      <formula>0</formula>
    </cfRule>
  </conditionalFormatting>
  <pageMargins left="0.25" right="0.25" top="0.75" bottom="0.75" header="0.3" footer="0.3"/>
  <pageSetup scale="6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A1AECD5-555C-4686-BE0F-E28B0FAE78AB}">
          <x14:formula1>
            <xm:f>'Inputs (Hidden)'!$A$7:$A$10</xm:f>
          </x14:formula1>
          <xm:sqref>C10</xm:sqref>
        </x14:dataValidation>
        <x14:dataValidation type="list" allowBlank="1" showInputMessage="1" showErrorMessage="1" xr:uid="{D421F69C-0C83-4F24-AAD6-BB50219FDA14}">
          <x14:formula1>
            <xm:f>'Inputs (Hidden)'!$A$3:$A$4</xm:f>
          </x14:formula1>
          <xm:sqref>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B0DC8-60F5-46DF-859F-47BBD8DAC067}">
  <dimension ref="A1:L51"/>
  <sheetViews>
    <sheetView showGridLines="0" zoomScaleNormal="100" workbookViewId="0">
      <selection activeCell="C10" sqref="C10"/>
    </sheetView>
  </sheetViews>
  <sheetFormatPr defaultColWidth="10" defaultRowHeight="15" x14ac:dyDescent="0.25"/>
  <cols>
    <col min="1" max="1" width="6.28515625" style="188" customWidth="1"/>
    <col min="2" max="2" width="68.7109375" style="170" bestFit="1" customWidth="1"/>
    <col min="3" max="3" width="14.5703125" style="170" customWidth="1"/>
    <col min="4" max="4" width="6.85546875" style="170" customWidth="1"/>
    <col min="5" max="7" width="12.7109375" style="188" customWidth="1"/>
    <col min="8" max="8" width="1.28515625" style="170" customWidth="1"/>
    <col min="9" max="10" width="12.7109375" style="170" customWidth="1"/>
    <col min="11" max="11" width="4.85546875" style="170" customWidth="1"/>
    <col min="12" max="12" width="5.28515625" style="170" customWidth="1"/>
    <col min="13" max="13" width="6.7109375" style="170" customWidth="1"/>
    <col min="14" max="16384" width="10" style="170"/>
  </cols>
  <sheetData>
    <row r="1" spans="1:12" ht="19.5" thickBot="1" x14ac:dyDescent="0.35">
      <c r="B1" s="211" t="s">
        <v>41</v>
      </c>
      <c r="F1" s="169"/>
      <c r="G1" s="169"/>
      <c r="H1" s="212"/>
      <c r="I1" s="169"/>
      <c r="J1" s="169"/>
    </row>
    <row r="2" spans="1:12" ht="45.75" thickBot="1" x14ac:dyDescent="0.3">
      <c r="B2" s="213" t="s">
        <v>18</v>
      </c>
      <c r="E2" s="214" t="s">
        <v>0</v>
      </c>
      <c r="F2" s="215" t="s">
        <v>10</v>
      </c>
      <c r="G2" s="257" t="s">
        <v>12</v>
      </c>
      <c r="H2" s="241"/>
      <c r="I2" s="217" t="s">
        <v>1</v>
      </c>
      <c r="J2" s="218" t="s">
        <v>2</v>
      </c>
    </row>
    <row r="3" spans="1:12" ht="15.75" x14ac:dyDescent="0.25">
      <c r="B3" s="222" t="s">
        <v>15</v>
      </c>
      <c r="C3" s="223"/>
      <c r="E3" s="171">
        <v>0</v>
      </c>
      <c r="F3" s="219"/>
      <c r="G3" s="258"/>
      <c r="H3" s="232"/>
      <c r="I3" s="220"/>
      <c r="J3" s="221"/>
      <c r="L3" s="242"/>
    </row>
    <row r="4" spans="1:12" ht="18.75" x14ac:dyDescent="0.3">
      <c r="A4" s="169"/>
      <c r="B4" s="208" t="s">
        <v>3</v>
      </c>
      <c r="C4" s="226">
        <v>4.7500000000000001E-2</v>
      </c>
      <c r="E4" s="178">
        <f t="shared" ref="E4:E28" si="0">IF(E3&gt;=$C$6,"",E3+1)</f>
        <v>1</v>
      </c>
      <c r="F4" s="172">
        <f>J4*I4*12</f>
        <v>1677.7283577745466</v>
      </c>
      <c r="G4" s="244">
        <f>((NPV(C4,F4:F28)*C4)/(1-(1+C4)^-C13))</f>
        <v>2157.6357845219368</v>
      </c>
      <c r="H4" s="232"/>
      <c r="I4" s="224">
        <f>C12/12</f>
        <v>926</v>
      </c>
      <c r="J4" s="225">
        <f>C11</f>
        <v>0.15098347352182742</v>
      </c>
      <c r="L4" s="243"/>
    </row>
    <row r="5" spans="1:12" ht="18.75" x14ac:dyDescent="0.3">
      <c r="A5" s="169"/>
      <c r="B5" s="210" t="s">
        <v>16</v>
      </c>
      <c r="C5" s="226">
        <v>5.0000000000000001E-3</v>
      </c>
      <c r="E5" s="171">
        <f t="shared" si="0"/>
        <v>2</v>
      </c>
      <c r="F5" s="172">
        <f t="shared" ref="F5:F28" si="1">IF($E5&lt;&gt;"",I5*J5*12,"")</f>
        <v>1719.4199074652436</v>
      </c>
      <c r="G5" s="244">
        <f t="shared" ref="G5:G28" si="2">IF($E5&lt;=$C$13,G4,"")</f>
        <v>2157.6357845219368</v>
      </c>
      <c r="H5" s="232"/>
      <c r="I5" s="174">
        <f t="shared" ref="I5:I28" si="3">IF($E5&lt;&gt;"",I4*(1-$C$5),"")</f>
        <v>921.37</v>
      </c>
      <c r="J5" s="175">
        <f t="shared" ref="J5:J28" si="4">IF($E5&lt;&gt;"",J4*(1+$C$7),"")</f>
        <v>0.15551297772748224</v>
      </c>
      <c r="L5" s="201"/>
    </row>
    <row r="6" spans="1:12" ht="18.75" x14ac:dyDescent="0.3">
      <c r="A6" s="169"/>
      <c r="B6" s="210" t="s">
        <v>5</v>
      </c>
      <c r="C6" s="227">
        <v>25</v>
      </c>
      <c r="E6" s="171">
        <f t="shared" si="0"/>
        <v>3</v>
      </c>
      <c r="F6" s="172">
        <f t="shared" si="1"/>
        <v>1762.1474921657552</v>
      </c>
      <c r="G6" s="244">
        <f t="shared" si="2"/>
        <v>2157.6357845219368</v>
      </c>
      <c r="H6" s="232"/>
      <c r="I6" s="174">
        <f t="shared" si="3"/>
        <v>916.76315</v>
      </c>
      <c r="J6" s="175">
        <f t="shared" si="4"/>
        <v>0.16017836705930671</v>
      </c>
    </row>
    <row r="7" spans="1:12" ht="19.5" thickBot="1" x14ac:dyDescent="0.35">
      <c r="A7" s="169"/>
      <c r="B7" s="228" t="s">
        <v>14</v>
      </c>
      <c r="C7" s="229">
        <v>0.03</v>
      </c>
      <c r="E7" s="171">
        <f t="shared" si="0"/>
        <v>4</v>
      </c>
      <c r="F7" s="172">
        <f t="shared" si="1"/>
        <v>1805.9368573460742</v>
      </c>
      <c r="G7" s="244">
        <f t="shared" si="2"/>
        <v>2157.6357845219368</v>
      </c>
      <c r="H7" s="232"/>
      <c r="I7" s="174">
        <f t="shared" si="3"/>
        <v>912.17933425000001</v>
      </c>
      <c r="J7" s="175">
        <f t="shared" si="4"/>
        <v>0.16498371807108592</v>
      </c>
    </row>
    <row r="8" spans="1:12" ht="19.5" thickBot="1" x14ac:dyDescent="0.35">
      <c r="A8" s="169"/>
      <c r="E8" s="171">
        <f t="shared" si="0"/>
        <v>5</v>
      </c>
      <c r="F8" s="172">
        <f t="shared" si="1"/>
        <v>1850.8143882511242</v>
      </c>
      <c r="G8" s="244">
        <f t="shared" si="2"/>
        <v>2157.6357845219368</v>
      </c>
      <c r="H8" s="232"/>
      <c r="I8" s="174">
        <f t="shared" si="3"/>
        <v>907.61843757874999</v>
      </c>
      <c r="J8" s="175">
        <f t="shared" si="4"/>
        <v>0.16993322961321849</v>
      </c>
    </row>
    <row r="9" spans="1:12" ht="18.75" x14ac:dyDescent="0.3">
      <c r="A9" s="169"/>
      <c r="B9" s="222" t="s">
        <v>46</v>
      </c>
      <c r="C9" s="223"/>
      <c r="E9" s="171">
        <f t="shared" si="0"/>
        <v>6</v>
      </c>
      <c r="F9" s="172">
        <f t="shared" si="1"/>
        <v>1896.8071257991646</v>
      </c>
      <c r="G9" s="244">
        <f t="shared" si="2"/>
        <v>2157.6357845219368</v>
      </c>
      <c r="H9" s="232"/>
      <c r="I9" s="174">
        <f t="shared" si="3"/>
        <v>903.08034539085622</v>
      </c>
      <c r="J9" s="175">
        <f t="shared" si="4"/>
        <v>0.17503122650161507</v>
      </c>
    </row>
    <row r="10" spans="1:12" ht="18.75" x14ac:dyDescent="0.3">
      <c r="A10" s="169"/>
      <c r="B10" s="210" t="s">
        <v>34</v>
      </c>
      <c r="C10" s="160" t="s">
        <v>25</v>
      </c>
      <c r="E10" s="178">
        <f t="shared" si="0"/>
        <v>7</v>
      </c>
      <c r="F10" s="172">
        <f t="shared" si="1"/>
        <v>1943.9427828752737</v>
      </c>
      <c r="G10" s="244">
        <f t="shared" si="2"/>
        <v>2157.6357845219368</v>
      </c>
      <c r="H10" s="232"/>
      <c r="I10" s="174">
        <f t="shared" si="3"/>
        <v>898.56494366390189</v>
      </c>
      <c r="J10" s="175">
        <f t="shared" si="4"/>
        <v>0.18028216329666352</v>
      </c>
    </row>
    <row r="11" spans="1:12" ht="18.75" x14ac:dyDescent="0.3">
      <c r="A11" s="169"/>
      <c r="B11" s="210" t="s">
        <v>17</v>
      </c>
      <c r="C11" s="166">
        <f>VLOOKUP(C10,'Inputs (Hidden)'!A7:D10,4,FALSE)</f>
        <v>0.15098347352182742</v>
      </c>
      <c r="E11" s="171">
        <f t="shared" si="0"/>
        <v>8</v>
      </c>
      <c r="F11" s="172">
        <f t="shared" si="1"/>
        <v>1992.2497610297241</v>
      </c>
      <c r="G11" s="244">
        <f t="shared" si="2"/>
        <v>2157.6357845219368</v>
      </c>
      <c r="H11" s="232"/>
      <c r="I11" s="174">
        <f t="shared" si="3"/>
        <v>894.07211894558236</v>
      </c>
      <c r="J11" s="175">
        <f t="shared" si="4"/>
        <v>0.18569062819556342</v>
      </c>
    </row>
    <row r="12" spans="1:12" ht="18.75" x14ac:dyDescent="0.3">
      <c r="A12" s="169"/>
      <c r="B12" s="210" t="s">
        <v>4</v>
      </c>
      <c r="C12" s="161">
        <v>11112</v>
      </c>
      <c r="E12" s="171">
        <f t="shared" si="0"/>
        <v>9</v>
      </c>
      <c r="F12" s="172">
        <f t="shared" si="1"/>
        <v>2041.7571675913132</v>
      </c>
      <c r="G12" s="244">
        <f t="shared" si="2"/>
        <v>2157.6357845219368</v>
      </c>
      <c r="H12" s="232"/>
      <c r="I12" s="174">
        <f t="shared" si="3"/>
        <v>889.60175835085442</v>
      </c>
      <c r="J12" s="175">
        <f t="shared" si="4"/>
        <v>0.19126134704143033</v>
      </c>
    </row>
    <row r="13" spans="1:12" ht="18.75" x14ac:dyDescent="0.3">
      <c r="A13" s="169"/>
      <c r="B13" s="210" t="s">
        <v>13</v>
      </c>
      <c r="C13" s="230">
        <v>25</v>
      </c>
      <c r="E13" s="171">
        <f t="shared" si="0"/>
        <v>10</v>
      </c>
      <c r="F13" s="172">
        <f t="shared" si="1"/>
        <v>2092.4948332059571</v>
      </c>
      <c r="G13" s="244">
        <f t="shared" si="2"/>
        <v>2157.6357845219368</v>
      </c>
      <c r="H13" s="232"/>
      <c r="I13" s="174">
        <f t="shared" si="3"/>
        <v>885.15374955910011</v>
      </c>
      <c r="J13" s="175">
        <f t="shared" si="4"/>
        <v>0.19699918745267325</v>
      </c>
    </row>
    <row r="14" spans="1:12" ht="18.75" x14ac:dyDescent="0.3">
      <c r="A14" s="169"/>
      <c r="B14" s="256" t="s">
        <v>60</v>
      </c>
      <c r="C14" s="231">
        <v>0.04</v>
      </c>
      <c r="E14" s="171">
        <f t="shared" si="0"/>
        <v>11</v>
      </c>
      <c r="F14" s="172">
        <f t="shared" si="1"/>
        <v>2144.493329811125</v>
      </c>
      <c r="G14" s="244">
        <f t="shared" si="2"/>
        <v>2157.6357845219368</v>
      </c>
      <c r="H14" s="232"/>
      <c r="I14" s="174">
        <f t="shared" si="3"/>
        <v>880.72798081130463</v>
      </c>
      <c r="J14" s="175">
        <f t="shared" si="4"/>
        <v>0.20290916307625345</v>
      </c>
    </row>
    <row r="15" spans="1:12" ht="18.75" x14ac:dyDescent="0.3">
      <c r="A15" s="169"/>
      <c r="B15" s="207" t="s">
        <v>47</v>
      </c>
      <c r="C15" s="164">
        <v>40000</v>
      </c>
      <c r="E15" s="171">
        <f t="shared" si="0"/>
        <v>12</v>
      </c>
      <c r="F15" s="172">
        <f t="shared" si="1"/>
        <v>2197.7839890569317</v>
      </c>
      <c r="G15" s="244">
        <f t="shared" si="2"/>
        <v>2157.6357845219368</v>
      </c>
      <c r="H15" s="232"/>
      <c r="I15" s="174">
        <f t="shared" si="3"/>
        <v>876.32434090724814</v>
      </c>
      <c r="J15" s="175">
        <f t="shared" si="4"/>
        <v>0.20899643796854106</v>
      </c>
    </row>
    <row r="16" spans="1:12" ht="18.75" x14ac:dyDescent="0.3">
      <c r="A16" s="169"/>
      <c r="B16" s="209" t="s">
        <v>48</v>
      </c>
      <c r="C16" s="164">
        <v>5000</v>
      </c>
      <c r="E16" s="171">
        <f t="shared" si="0"/>
        <v>13</v>
      </c>
      <c r="F16" s="172">
        <f t="shared" si="1"/>
        <v>2252.3989211849967</v>
      </c>
      <c r="G16" s="244">
        <f t="shared" si="2"/>
        <v>2157.6357845219368</v>
      </c>
      <c r="H16" s="232"/>
      <c r="I16" s="174">
        <f t="shared" si="3"/>
        <v>871.94271920271194</v>
      </c>
      <c r="J16" s="175">
        <f t="shared" si="4"/>
        <v>0.2152663311075973</v>
      </c>
    </row>
    <row r="17" spans="1:10" ht="30.75" x14ac:dyDescent="0.3">
      <c r="A17" s="169"/>
      <c r="B17" s="209" t="s">
        <v>49</v>
      </c>
      <c r="C17" s="164">
        <v>5500</v>
      </c>
      <c r="E17" s="171">
        <f t="shared" si="0"/>
        <v>14</v>
      </c>
      <c r="F17" s="172">
        <f t="shared" si="1"/>
        <v>2308.3710343764442</v>
      </c>
      <c r="G17" s="244">
        <f t="shared" si="2"/>
        <v>2157.6357845219368</v>
      </c>
      <c r="H17" s="232"/>
      <c r="I17" s="174">
        <f t="shared" si="3"/>
        <v>867.58300560669841</v>
      </c>
      <c r="J17" s="175">
        <f t="shared" si="4"/>
        <v>0.22172432104082523</v>
      </c>
    </row>
    <row r="18" spans="1:10" ht="60.6" customHeight="1" thickBot="1" x14ac:dyDescent="0.35">
      <c r="A18" s="169"/>
      <c r="B18" s="206" t="s">
        <v>50</v>
      </c>
      <c r="C18" s="165">
        <v>11666.666666666666</v>
      </c>
      <c r="E18" s="171">
        <f t="shared" si="0"/>
        <v>15</v>
      </c>
      <c r="F18" s="172">
        <f t="shared" si="1"/>
        <v>2365.7340545806987</v>
      </c>
      <c r="G18" s="244">
        <f t="shared" si="2"/>
        <v>2157.6357845219368</v>
      </c>
      <c r="H18" s="232"/>
      <c r="I18" s="174">
        <f t="shared" si="3"/>
        <v>863.24509057866487</v>
      </c>
      <c r="J18" s="175">
        <f t="shared" si="4"/>
        <v>0.22837605067205</v>
      </c>
    </row>
    <row r="19" spans="1:10" ht="19.5" thickBot="1" x14ac:dyDescent="0.35">
      <c r="A19" s="169"/>
      <c r="E19" s="178">
        <f t="shared" si="0"/>
        <v>16</v>
      </c>
      <c r="F19" s="172">
        <f t="shared" si="1"/>
        <v>2424.5225458370287</v>
      </c>
      <c r="G19" s="244">
        <f t="shared" si="2"/>
        <v>2157.6357845219368</v>
      </c>
      <c r="H19" s="232"/>
      <c r="I19" s="174">
        <f t="shared" si="3"/>
        <v>858.92886512577149</v>
      </c>
      <c r="J19" s="175">
        <f t="shared" si="4"/>
        <v>0.23522733219221151</v>
      </c>
    </row>
    <row r="20" spans="1:10" ht="30.75" x14ac:dyDescent="0.3">
      <c r="A20" s="169"/>
      <c r="B20" s="176" t="s">
        <v>55</v>
      </c>
      <c r="C20" s="233">
        <f>C15-C16-C17-C18</f>
        <v>17833.333333333336</v>
      </c>
      <c r="E20" s="171">
        <f t="shared" si="0"/>
        <v>17</v>
      </c>
      <c r="F20" s="172">
        <f t="shared" si="1"/>
        <v>2484.7719311010792</v>
      </c>
      <c r="G20" s="244">
        <f t="shared" si="2"/>
        <v>2157.6357845219368</v>
      </c>
      <c r="H20" s="232"/>
      <c r="I20" s="174">
        <f t="shared" si="3"/>
        <v>854.63422080014266</v>
      </c>
      <c r="J20" s="175">
        <f t="shared" si="4"/>
        <v>0.24228415215797786</v>
      </c>
    </row>
    <row r="21" spans="1:10" ht="18.75" x14ac:dyDescent="0.3">
      <c r="A21" s="169"/>
      <c r="B21" s="245" t="s">
        <v>51</v>
      </c>
      <c r="C21" s="246">
        <f xml:space="preserve">
PV(C14/12,C13*12,-C22,0,0)</f>
        <v>34064.121394418464</v>
      </c>
      <c r="E21" s="171">
        <f t="shared" si="0"/>
        <v>18</v>
      </c>
      <c r="F21" s="172">
        <f t="shared" si="1"/>
        <v>2546.518513588941</v>
      </c>
      <c r="G21" s="244">
        <f t="shared" si="2"/>
        <v>2157.6357845219368</v>
      </c>
      <c r="H21" s="232"/>
      <c r="I21" s="174">
        <f t="shared" si="3"/>
        <v>850.36104969614189</v>
      </c>
      <c r="J21" s="175">
        <f t="shared" si="4"/>
        <v>0.24955267672271719</v>
      </c>
    </row>
    <row r="22" spans="1:10" ht="19.5" thickBot="1" x14ac:dyDescent="0.35">
      <c r="A22" s="169"/>
      <c r="B22" s="234" t="s">
        <v>52</v>
      </c>
      <c r="C22" s="247">
        <f>((NPV(C4,F4:F28)*C4)/(1-(1+C4)^-C13)/12)</f>
        <v>179.80298204349472</v>
      </c>
      <c r="E22" s="171">
        <f t="shared" si="0"/>
        <v>19</v>
      </c>
      <c r="F22" s="172">
        <f t="shared" si="1"/>
        <v>2609.799498651626</v>
      </c>
      <c r="G22" s="244">
        <f t="shared" si="2"/>
        <v>2157.6357845219368</v>
      </c>
      <c r="H22" s="236"/>
      <c r="I22" s="174">
        <f t="shared" si="3"/>
        <v>846.10924444766113</v>
      </c>
      <c r="J22" s="175">
        <f t="shared" si="4"/>
        <v>0.25703925702439873</v>
      </c>
    </row>
    <row r="23" spans="1:10" s="181" customFormat="1" ht="19.5" thickBot="1" x14ac:dyDescent="0.35">
      <c r="A23" s="169"/>
      <c r="E23" s="171">
        <f t="shared" si="0"/>
        <v>20</v>
      </c>
      <c r="F23" s="172">
        <f t="shared" si="1"/>
        <v>2674.6530161931191</v>
      </c>
      <c r="G23" s="244">
        <f t="shared" si="2"/>
        <v>2157.6357845219368</v>
      </c>
      <c r="H23" s="232"/>
      <c r="I23" s="174">
        <f t="shared" si="3"/>
        <v>841.8786982254228</v>
      </c>
      <c r="J23" s="175">
        <f t="shared" si="4"/>
        <v>0.26475043473513071</v>
      </c>
    </row>
    <row r="24" spans="1:10" ht="18.75" x14ac:dyDescent="0.3">
      <c r="A24" s="169"/>
      <c r="B24" s="183" t="str">
        <f>IF(C20&lt;=C21,'Inputs (Hidden)'!A13,'Inputs (Hidden)'!A14)</f>
        <v>The system design meets MEA program requirements.</v>
      </c>
      <c r="C24" s="184"/>
      <c r="E24" s="171">
        <f t="shared" si="0"/>
        <v>21</v>
      </c>
      <c r="F24" s="172">
        <f t="shared" si="1"/>
        <v>2741.1181436455186</v>
      </c>
      <c r="G24" s="244">
        <f t="shared" si="2"/>
        <v>2157.6357845219368</v>
      </c>
      <c r="H24" s="232"/>
      <c r="I24" s="174">
        <f t="shared" si="3"/>
        <v>837.66930473429568</v>
      </c>
      <c r="J24" s="175">
        <f t="shared" si="4"/>
        <v>0.27269294777718467</v>
      </c>
    </row>
    <row r="25" spans="1:10" ht="19.5" thickBot="1" x14ac:dyDescent="0.35">
      <c r="A25" s="169"/>
      <c r="B25" s="186"/>
      <c r="C25" s="187"/>
      <c r="E25" s="171">
        <f t="shared" si="0"/>
        <v>22</v>
      </c>
      <c r="F25" s="172">
        <f t="shared" si="1"/>
        <v>2809.2349295151098</v>
      </c>
      <c r="G25" s="244">
        <f t="shared" si="2"/>
        <v>2157.6357845219368</v>
      </c>
      <c r="H25" s="232"/>
      <c r="I25" s="174">
        <f t="shared" si="3"/>
        <v>833.48095821062418</v>
      </c>
      <c r="J25" s="175">
        <f t="shared" si="4"/>
        <v>0.28087373621050021</v>
      </c>
    </row>
    <row r="26" spans="1:10" x14ac:dyDescent="0.25">
      <c r="B26" s="181"/>
      <c r="C26" s="181"/>
      <c r="E26" s="171">
        <f t="shared" si="0"/>
        <v>23</v>
      </c>
      <c r="F26" s="172">
        <f t="shared" si="1"/>
        <v>2879.0444175135599</v>
      </c>
      <c r="G26" s="244">
        <f t="shared" si="2"/>
        <v>2157.6357845219368</v>
      </c>
      <c r="H26" s="232"/>
      <c r="I26" s="174">
        <f t="shared" si="3"/>
        <v>829.31355341957101</v>
      </c>
      <c r="J26" s="175">
        <f t="shared" si="4"/>
        <v>0.28929994829681521</v>
      </c>
    </row>
    <row r="27" spans="1:10" x14ac:dyDescent="0.25">
      <c r="B27" s="181"/>
      <c r="C27" s="181"/>
      <c r="E27" s="171">
        <f t="shared" si="0"/>
        <v>24</v>
      </c>
      <c r="F27" s="172">
        <f t="shared" si="1"/>
        <v>2950.5886712887723</v>
      </c>
      <c r="G27" s="244">
        <f t="shared" si="2"/>
        <v>2157.6357845219368</v>
      </c>
      <c r="H27" s="232"/>
      <c r="I27" s="174">
        <f t="shared" si="3"/>
        <v>825.16698565247316</v>
      </c>
      <c r="J27" s="175">
        <f t="shared" si="4"/>
        <v>0.29797894674571967</v>
      </c>
    </row>
    <row r="28" spans="1:10" ht="15.75" thickBot="1" x14ac:dyDescent="0.3">
      <c r="B28" s="181"/>
      <c r="C28" s="181"/>
      <c r="E28" s="189">
        <f t="shared" si="0"/>
        <v>25</v>
      </c>
      <c r="F28" s="190">
        <f t="shared" si="1"/>
        <v>3023.9107997702977</v>
      </c>
      <c r="G28" s="248">
        <f t="shared" si="2"/>
        <v>2157.6357845219368</v>
      </c>
      <c r="H28" s="237"/>
      <c r="I28" s="192">
        <f t="shared" si="3"/>
        <v>821.04115072421075</v>
      </c>
      <c r="J28" s="193">
        <f t="shared" si="4"/>
        <v>0.30691831514809126</v>
      </c>
    </row>
    <row r="29" spans="1:10" s="181" customFormat="1" ht="15.75" thickBot="1" x14ac:dyDescent="0.3">
      <c r="A29" s="249"/>
      <c r="E29" s="170"/>
      <c r="F29" s="170"/>
      <c r="G29" s="170"/>
      <c r="H29" s="170"/>
      <c r="I29" s="170"/>
      <c r="J29" s="170"/>
    </row>
    <row r="30" spans="1:10" ht="28.9" customHeight="1" x14ac:dyDescent="0.25">
      <c r="B30" s="181"/>
      <c r="C30" s="181"/>
      <c r="F30" s="194" t="s">
        <v>44</v>
      </c>
      <c r="G30" s="195"/>
    </row>
    <row r="31" spans="1:10" ht="18.75" x14ac:dyDescent="0.3">
      <c r="B31" s="181"/>
      <c r="C31" s="181"/>
      <c r="E31" s="169"/>
      <c r="F31" s="250" t="s">
        <v>6</v>
      </c>
      <c r="G31" s="251" t="s">
        <v>8</v>
      </c>
      <c r="H31" s="181"/>
      <c r="I31" s="181"/>
      <c r="J31" s="181"/>
    </row>
    <row r="32" spans="1:10" s="181" customFormat="1" ht="15.75" thickBot="1" x14ac:dyDescent="0.3">
      <c r="A32" s="249"/>
      <c r="D32" s="170"/>
      <c r="E32" s="188"/>
      <c r="F32" s="252">
        <f>NPV(C4,F3:F28)</f>
        <v>31186.411297846877</v>
      </c>
      <c r="G32" s="253">
        <f>NPV(C4,G3:G28)</f>
        <v>31186.411297846804</v>
      </c>
      <c r="H32" s="170"/>
      <c r="I32" s="170"/>
      <c r="J32" s="170"/>
    </row>
    <row r="33" spans="1:7" x14ac:dyDescent="0.25">
      <c r="B33" s="181"/>
      <c r="C33" s="181"/>
      <c r="F33" s="238"/>
      <c r="G33" s="254"/>
    </row>
    <row r="34" spans="1:7" x14ac:dyDescent="0.25">
      <c r="B34" s="181"/>
      <c r="C34" s="181"/>
      <c r="G34" s="255"/>
    </row>
    <row r="35" spans="1:7" x14ac:dyDescent="0.25">
      <c r="G35" s="170"/>
    </row>
    <row r="36" spans="1:7" x14ac:dyDescent="0.25">
      <c r="F36" s="202"/>
      <c r="G36" s="170"/>
    </row>
    <row r="37" spans="1:7" x14ac:dyDescent="0.25">
      <c r="G37" s="170"/>
    </row>
    <row r="38" spans="1:7" x14ac:dyDescent="0.25">
      <c r="G38" s="239"/>
    </row>
    <row r="39" spans="1:7" x14ac:dyDescent="0.25">
      <c r="C39" s="239"/>
      <c r="G39" s="170"/>
    </row>
    <row r="40" spans="1:7" x14ac:dyDescent="0.25">
      <c r="C40" s="239"/>
      <c r="G40" s="170"/>
    </row>
    <row r="41" spans="1:7" x14ac:dyDescent="0.25">
      <c r="B41" s="188"/>
      <c r="G41" s="170"/>
    </row>
    <row r="42" spans="1:7" x14ac:dyDescent="0.25">
      <c r="G42" s="170"/>
    </row>
    <row r="43" spans="1:7" x14ac:dyDescent="0.25">
      <c r="A43" s="200"/>
      <c r="D43" s="201"/>
      <c r="G43" s="170"/>
    </row>
    <row r="44" spans="1:7" x14ac:dyDescent="0.25">
      <c r="B44" s="239"/>
      <c r="C44" s="239"/>
      <c r="E44" s="202"/>
      <c r="G44" s="170"/>
    </row>
    <row r="45" spans="1:7" x14ac:dyDescent="0.25">
      <c r="B45" s="240"/>
      <c r="C45" s="239"/>
      <c r="G45" s="170"/>
    </row>
    <row r="46" spans="1:7" x14ac:dyDescent="0.25">
      <c r="E46" s="202"/>
    </row>
    <row r="48" spans="1:7" x14ac:dyDescent="0.25">
      <c r="C48" s="204"/>
    </row>
    <row r="50" spans="3:5" x14ac:dyDescent="0.25">
      <c r="C50" s="239"/>
    </row>
    <row r="51" spans="3:5" x14ac:dyDescent="0.25">
      <c r="E51" s="202"/>
    </row>
  </sheetData>
  <sheetProtection algorithmName="SHA-512" hashValue="ozVHYxCFg9fhUrztw3nK/xlKzj+g40TiePp5PSQW/TaCllvR15/XBoijascVjKf967d6P3oqyIf0Jh4FzQfMkg==" saltValue="SykwGJCDzmOonF0OFyagNg==" spinCount="100000" sheet="1" objects="1" scenarios="1" selectLockedCells="1"/>
  <protectedRanges>
    <protectedRange sqref="C11:C13" name="Inputs"/>
  </protectedRanges>
  <mergeCells count="2">
    <mergeCell ref="F30:G30"/>
    <mergeCell ref="B24:C25"/>
  </mergeCells>
  <pageMargins left="0.25" right="0.25" top="0.75" bottom="0.75" header="0.3" footer="0.3"/>
  <pageSetup scale="6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5359E6-0F0B-40E1-9BA3-E22284603F1E}">
          <x14:formula1>
            <xm:f>'Inputs (Hidden)'!$A$7:$A$10</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907A1-CD4F-4F99-BB1A-07838A3E1980}">
  <dimension ref="A1:K51"/>
  <sheetViews>
    <sheetView showGridLines="0" zoomScaleNormal="100" workbookViewId="0">
      <selection activeCell="C16" sqref="C16"/>
    </sheetView>
  </sheetViews>
  <sheetFormatPr defaultColWidth="10" defaultRowHeight="15" x14ac:dyDescent="0.25"/>
  <cols>
    <col min="1" max="1" width="6.28515625" style="188" customWidth="1"/>
    <col min="2" max="2" width="68.7109375" style="170" bestFit="1" customWidth="1"/>
    <col min="3" max="3" width="14.5703125" style="170" customWidth="1"/>
    <col min="4" max="4" width="6.85546875" style="170" customWidth="1"/>
    <col min="5" max="6" width="12.7109375" style="188" customWidth="1"/>
    <col min="7" max="7" width="1.28515625" style="170" customWidth="1"/>
    <col min="8" max="9" width="12.7109375" style="170" customWidth="1"/>
    <col min="10" max="10" width="4.85546875" style="170" customWidth="1"/>
    <col min="11" max="11" width="5.28515625" style="170" customWidth="1"/>
    <col min="12" max="12" width="6.7109375" style="170" customWidth="1"/>
    <col min="13" max="16384" width="10" style="170"/>
  </cols>
  <sheetData>
    <row r="1" spans="1:11" ht="19.5" thickBot="1" x14ac:dyDescent="0.35">
      <c r="B1" s="211" t="s">
        <v>54</v>
      </c>
      <c r="F1" s="169"/>
      <c r="G1" s="212"/>
      <c r="H1" s="169"/>
      <c r="I1" s="169"/>
    </row>
    <row r="2" spans="1:11" ht="45.75" thickBot="1" x14ac:dyDescent="0.3">
      <c r="B2" s="213" t="s">
        <v>18</v>
      </c>
      <c r="E2" s="214" t="s">
        <v>0</v>
      </c>
      <c r="F2" s="215" t="s">
        <v>10</v>
      </c>
      <c r="G2" s="241"/>
      <c r="H2" s="217" t="s">
        <v>1</v>
      </c>
      <c r="I2" s="218" t="s">
        <v>2</v>
      </c>
    </row>
    <row r="3" spans="1:11" ht="15.75" x14ac:dyDescent="0.25">
      <c r="B3" s="222" t="s">
        <v>15</v>
      </c>
      <c r="C3" s="223"/>
      <c r="E3" s="171">
        <v>0</v>
      </c>
      <c r="F3" s="219"/>
      <c r="G3" s="232"/>
      <c r="H3" s="220"/>
      <c r="I3" s="221"/>
      <c r="K3" s="242"/>
    </row>
    <row r="4" spans="1:11" ht="18.75" x14ac:dyDescent="0.3">
      <c r="A4" s="169"/>
      <c r="B4" s="208" t="s">
        <v>3</v>
      </c>
      <c r="C4" s="226">
        <v>4.7500000000000001E-2</v>
      </c>
      <c r="E4" s="178">
        <f t="shared" ref="E4:E28" si="0">IF(E3&gt;=$C$6,"",E3+1)</f>
        <v>1</v>
      </c>
      <c r="F4" s="172">
        <f>I4*H4*12</f>
        <v>1677.7283577745466</v>
      </c>
      <c r="G4" s="232"/>
      <c r="H4" s="224">
        <f>C12/12</f>
        <v>926</v>
      </c>
      <c r="I4" s="225">
        <f>C11</f>
        <v>0.15098347352182742</v>
      </c>
      <c r="K4" s="243"/>
    </row>
    <row r="5" spans="1:11" ht="18.75" x14ac:dyDescent="0.3">
      <c r="A5" s="169"/>
      <c r="B5" s="210" t="s">
        <v>16</v>
      </c>
      <c r="C5" s="226">
        <v>5.0000000000000001E-3</v>
      </c>
      <c r="E5" s="171">
        <f t="shared" si="0"/>
        <v>2</v>
      </c>
      <c r="F5" s="172">
        <f t="shared" ref="F5:F28" si="1">IF($E5&lt;&gt;"",H5*I5*12,"")</f>
        <v>1719.4199074652436</v>
      </c>
      <c r="G5" s="232"/>
      <c r="H5" s="174">
        <f t="shared" ref="H5:H28" si="2">IF($E5&lt;&gt;"",H4*(1-$C$5),"")</f>
        <v>921.37</v>
      </c>
      <c r="I5" s="175">
        <f t="shared" ref="I5:I28" si="3">IF($E5&lt;&gt;"",I4*(1+$C$7),"")</f>
        <v>0.15551297772748224</v>
      </c>
      <c r="K5" s="201"/>
    </row>
    <row r="6" spans="1:11" ht="18.75" x14ac:dyDescent="0.3">
      <c r="A6" s="169"/>
      <c r="B6" s="210" t="s">
        <v>5</v>
      </c>
      <c r="C6" s="227">
        <v>25</v>
      </c>
      <c r="E6" s="171">
        <f t="shared" si="0"/>
        <v>3</v>
      </c>
      <c r="F6" s="172">
        <f t="shared" si="1"/>
        <v>1762.1474921657552</v>
      </c>
      <c r="G6" s="232"/>
      <c r="H6" s="174">
        <f t="shared" si="2"/>
        <v>916.76315</v>
      </c>
      <c r="I6" s="175">
        <f t="shared" si="3"/>
        <v>0.16017836705930671</v>
      </c>
    </row>
    <row r="7" spans="1:11" ht="19.5" thickBot="1" x14ac:dyDescent="0.35">
      <c r="A7" s="169"/>
      <c r="B7" s="228" t="s">
        <v>14</v>
      </c>
      <c r="C7" s="229">
        <v>0.03</v>
      </c>
      <c r="E7" s="171">
        <f t="shared" si="0"/>
        <v>4</v>
      </c>
      <c r="F7" s="172">
        <f t="shared" si="1"/>
        <v>1805.9368573460742</v>
      </c>
      <c r="G7" s="232"/>
      <c r="H7" s="174">
        <f t="shared" si="2"/>
        <v>912.17933425000001</v>
      </c>
      <c r="I7" s="175">
        <f t="shared" si="3"/>
        <v>0.16498371807108592</v>
      </c>
    </row>
    <row r="8" spans="1:11" ht="19.5" thickBot="1" x14ac:dyDescent="0.35">
      <c r="A8" s="169"/>
      <c r="E8" s="171">
        <f t="shared" si="0"/>
        <v>5</v>
      </c>
      <c r="F8" s="172">
        <f>IF($E8&lt;&gt;"",H8*I8*12,"")</f>
        <v>1850.8143882511242</v>
      </c>
      <c r="G8" s="232"/>
      <c r="H8" s="174">
        <f t="shared" si="2"/>
        <v>907.61843757874999</v>
      </c>
      <c r="I8" s="175">
        <f t="shared" si="3"/>
        <v>0.16993322961321849</v>
      </c>
    </row>
    <row r="9" spans="1:11" ht="18.75" x14ac:dyDescent="0.3">
      <c r="A9" s="169"/>
      <c r="B9" s="222" t="s">
        <v>68</v>
      </c>
      <c r="C9" s="223"/>
      <c r="E9" s="171">
        <f t="shared" si="0"/>
        <v>6</v>
      </c>
      <c r="F9" s="172">
        <f t="shared" si="1"/>
        <v>1896.8071257991646</v>
      </c>
      <c r="G9" s="232"/>
      <c r="H9" s="174">
        <f t="shared" si="2"/>
        <v>903.08034539085622</v>
      </c>
      <c r="I9" s="175">
        <f t="shared" si="3"/>
        <v>0.17503122650161507</v>
      </c>
    </row>
    <row r="10" spans="1:11" ht="18.75" x14ac:dyDescent="0.3">
      <c r="A10" s="169"/>
      <c r="B10" s="210" t="s">
        <v>34</v>
      </c>
      <c r="C10" s="160" t="s">
        <v>25</v>
      </c>
      <c r="E10" s="178">
        <f t="shared" si="0"/>
        <v>7</v>
      </c>
      <c r="F10" s="172">
        <f t="shared" si="1"/>
        <v>1943.9427828752737</v>
      </c>
      <c r="G10" s="232"/>
      <c r="H10" s="174">
        <f t="shared" si="2"/>
        <v>898.56494366390189</v>
      </c>
      <c r="I10" s="175">
        <f t="shared" si="3"/>
        <v>0.18028216329666352</v>
      </c>
    </row>
    <row r="11" spans="1:11" ht="18.75" x14ac:dyDescent="0.3">
      <c r="A11" s="169"/>
      <c r="B11" s="210" t="s">
        <v>17</v>
      </c>
      <c r="C11" s="166">
        <f>VLOOKUP(C10,'Inputs (Hidden)'!A7:D10,4,FALSE)</f>
        <v>0.15098347352182742</v>
      </c>
      <c r="E11" s="171">
        <f t="shared" si="0"/>
        <v>8</v>
      </c>
      <c r="F11" s="172">
        <f t="shared" si="1"/>
        <v>1992.2497610297241</v>
      </c>
      <c r="G11" s="232"/>
      <c r="H11" s="174">
        <f t="shared" si="2"/>
        <v>894.07211894558236</v>
      </c>
      <c r="I11" s="175">
        <f t="shared" si="3"/>
        <v>0.18569062819556342</v>
      </c>
    </row>
    <row r="12" spans="1:11" ht="18.75" x14ac:dyDescent="0.3">
      <c r="A12" s="169"/>
      <c r="B12" s="210" t="s">
        <v>4</v>
      </c>
      <c r="C12" s="161">
        <v>11112</v>
      </c>
      <c r="E12" s="171">
        <f t="shared" si="0"/>
        <v>9</v>
      </c>
      <c r="F12" s="172">
        <f t="shared" si="1"/>
        <v>2041.7571675913132</v>
      </c>
      <c r="G12" s="232"/>
      <c r="H12" s="174">
        <f t="shared" si="2"/>
        <v>889.60175835085442</v>
      </c>
      <c r="I12" s="175">
        <f t="shared" si="3"/>
        <v>0.19126134704143033</v>
      </c>
    </row>
    <row r="13" spans="1:11" ht="18.75" x14ac:dyDescent="0.3">
      <c r="A13" s="169"/>
      <c r="B13" s="207" t="s">
        <v>59</v>
      </c>
      <c r="C13" s="164">
        <v>40000</v>
      </c>
      <c r="E13" s="171">
        <f t="shared" si="0"/>
        <v>10</v>
      </c>
      <c r="F13" s="172">
        <f>IF($E13&lt;&gt;"",H13*I13*12,"")</f>
        <v>2092.4948332059571</v>
      </c>
      <c r="G13" s="232"/>
      <c r="H13" s="174">
        <f t="shared" si="2"/>
        <v>885.15374955910011</v>
      </c>
      <c r="I13" s="175">
        <f t="shared" si="3"/>
        <v>0.19699918745267325</v>
      </c>
    </row>
    <row r="14" spans="1:11" ht="18.75" x14ac:dyDescent="0.3">
      <c r="A14" s="169"/>
      <c r="B14" s="209" t="s">
        <v>48</v>
      </c>
      <c r="C14" s="164">
        <v>5000</v>
      </c>
      <c r="E14" s="171">
        <f t="shared" si="0"/>
        <v>11</v>
      </c>
      <c r="F14" s="172">
        <f t="shared" si="1"/>
        <v>2144.493329811125</v>
      </c>
      <c r="G14" s="232"/>
      <c r="H14" s="174">
        <f t="shared" si="2"/>
        <v>880.72798081130463</v>
      </c>
      <c r="I14" s="175">
        <f t="shared" si="3"/>
        <v>0.20290916307625345</v>
      </c>
    </row>
    <row r="15" spans="1:11" ht="30.75" x14ac:dyDescent="0.3">
      <c r="A15" s="169"/>
      <c r="B15" s="209" t="s">
        <v>58</v>
      </c>
      <c r="C15" s="164">
        <v>5500</v>
      </c>
      <c r="E15" s="171">
        <f t="shared" si="0"/>
        <v>12</v>
      </c>
      <c r="F15" s="172">
        <f t="shared" si="1"/>
        <v>2197.7839890569317</v>
      </c>
      <c r="G15" s="232"/>
      <c r="H15" s="174">
        <f t="shared" si="2"/>
        <v>876.32434090724814</v>
      </c>
      <c r="I15" s="175">
        <f t="shared" si="3"/>
        <v>0.20899643796854106</v>
      </c>
    </row>
    <row r="16" spans="1:11" ht="60.6" customHeight="1" thickBot="1" x14ac:dyDescent="0.35">
      <c r="A16" s="169"/>
      <c r="B16" s="206" t="s">
        <v>50</v>
      </c>
      <c r="C16" s="165">
        <v>11666.666666666701</v>
      </c>
      <c r="E16" s="171">
        <f t="shared" si="0"/>
        <v>13</v>
      </c>
      <c r="F16" s="172">
        <f t="shared" si="1"/>
        <v>2252.3989211849967</v>
      </c>
      <c r="G16" s="232"/>
      <c r="H16" s="174">
        <f t="shared" si="2"/>
        <v>871.94271920271194</v>
      </c>
      <c r="I16" s="175">
        <f t="shared" si="3"/>
        <v>0.2152663311075973</v>
      </c>
    </row>
    <row r="17" spans="1:9" ht="19.5" thickBot="1" x14ac:dyDescent="0.35">
      <c r="A17" s="169"/>
      <c r="E17" s="171">
        <f t="shared" si="0"/>
        <v>14</v>
      </c>
      <c r="F17" s="172">
        <f t="shared" si="1"/>
        <v>2308.3710343764442</v>
      </c>
      <c r="G17" s="232"/>
      <c r="H17" s="174">
        <f t="shared" si="2"/>
        <v>867.58300560669841</v>
      </c>
      <c r="I17" s="175">
        <f t="shared" si="3"/>
        <v>0.22172432104082523</v>
      </c>
    </row>
    <row r="18" spans="1:9" ht="30.75" x14ac:dyDescent="0.3">
      <c r="A18" s="169"/>
      <c r="B18" s="176" t="s">
        <v>57</v>
      </c>
      <c r="C18" s="233">
        <f>C13-C14-C15-C16</f>
        <v>17833.333333333299</v>
      </c>
      <c r="E18" s="171">
        <f t="shared" si="0"/>
        <v>15</v>
      </c>
      <c r="F18" s="172">
        <f t="shared" si="1"/>
        <v>2365.7340545806987</v>
      </c>
      <c r="G18" s="232"/>
      <c r="H18" s="174">
        <f t="shared" si="2"/>
        <v>863.24509057866487</v>
      </c>
      <c r="I18" s="175">
        <f t="shared" si="3"/>
        <v>0.22837605067205</v>
      </c>
    </row>
    <row r="19" spans="1:9" ht="19.5" thickBot="1" x14ac:dyDescent="0.35">
      <c r="A19" s="169"/>
      <c r="B19" s="234" t="s">
        <v>56</v>
      </c>
      <c r="C19" s="235">
        <f>E32</f>
        <v>31186.411297846877</v>
      </c>
      <c r="E19" s="178">
        <f t="shared" si="0"/>
        <v>16</v>
      </c>
      <c r="F19" s="172">
        <f t="shared" si="1"/>
        <v>2424.5225458370287</v>
      </c>
      <c r="G19" s="232"/>
      <c r="H19" s="174">
        <f t="shared" si="2"/>
        <v>858.92886512577149</v>
      </c>
      <c r="I19" s="175">
        <f t="shared" si="3"/>
        <v>0.23522733219221151</v>
      </c>
    </row>
    <row r="20" spans="1:9" ht="19.5" thickBot="1" x14ac:dyDescent="0.35">
      <c r="A20" s="169"/>
      <c r="E20" s="171">
        <f t="shared" si="0"/>
        <v>17</v>
      </c>
      <c r="F20" s="172">
        <f t="shared" si="1"/>
        <v>2484.7719311010792</v>
      </c>
      <c r="G20" s="232"/>
      <c r="H20" s="174">
        <f t="shared" si="2"/>
        <v>854.63422080014266</v>
      </c>
      <c r="I20" s="175">
        <f t="shared" si="3"/>
        <v>0.24228415215797786</v>
      </c>
    </row>
    <row r="21" spans="1:9" ht="18.75" x14ac:dyDescent="0.3">
      <c r="A21" s="169"/>
      <c r="B21" s="183" t="str">
        <f>IF(C18&lt;=C19,'Inputs (Hidden)'!A13,'Inputs (Hidden)'!A14)</f>
        <v>The system design meets MEA program requirements.</v>
      </c>
      <c r="C21" s="184"/>
      <c r="E21" s="171">
        <f t="shared" si="0"/>
        <v>18</v>
      </c>
      <c r="F21" s="172">
        <f t="shared" si="1"/>
        <v>2546.518513588941</v>
      </c>
      <c r="G21" s="232"/>
      <c r="H21" s="174">
        <f t="shared" si="2"/>
        <v>850.36104969614189</v>
      </c>
      <c r="I21" s="175">
        <f t="shared" si="3"/>
        <v>0.24955267672271719</v>
      </c>
    </row>
    <row r="22" spans="1:9" ht="15.75" thickBot="1" x14ac:dyDescent="0.3">
      <c r="A22" s="170"/>
      <c r="B22" s="186"/>
      <c r="C22" s="187"/>
      <c r="E22" s="171">
        <f t="shared" si="0"/>
        <v>19</v>
      </c>
      <c r="F22" s="172">
        <f t="shared" si="1"/>
        <v>2609.799498651626</v>
      </c>
      <c r="G22" s="236"/>
      <c r="H22" s="174">
        <f t="shared" si="2"/>
        <v>846.10924444766113</v>
      </c>
      <c r="I22" s="175">
        <f t="shared" si="3"/>
        <v>0.25703925702439873</v>
      </c>
    </row>
    <row r="23" spans="1:9" s="181" customFormat="1" x14ac:dyDescent="0.25">
      <c r="A23" s="170"/>
      <c r="B23" s="170"/>
      <c r="C23" s="170"/>
      <c r="D23" s="170"/>
      <c r="E23" s="171">
        <f t="shared" si="0"/>
        <v>20</v>
      </c>
      <c r="F23" s="172">
        <f t="shared" si="1"/>
        <v>2674.6530161931191</v>
      </c>
      <c r="G23" s="232"/>
      <c r="H23" s="174">
        <f t="shared" si="2"/>
        <v>841.8786982254228</v>
      </c>
      <c r="I23" s="175">
        <f t="shared" si="3"/>
        <v>0.26475043473513071</v>
      </c>
    </row>
    <row r="24" spans="1:9" x14ac:dyDescent="0.25">
      <c r="A24" s="170"/>
      <c r="E24" s="171">
        <f t="shared" si="0"/>
        <v>21</v>
      </c>
      <c r="F24" s="172">
        <f t="shared" si="1"/>
        <v>2741.1181436455186</v>
      </c>
      <c r="G24" s="232"/>
      <c r="H24" s="174">
        <f t="shared" si="2"/>
        <v>837.66930473429568</v>
      </c>
      <c r="I24" s="175">
        <f t="shared" si="3"/>
        <v>0.27269294777718467</v>
      </c>
    </row>
    <row r="25" spans="1:9" x14ac:dyDescent="0.25">
      <c r="A25" s="170"/>
      <c r="E25" s="171">
        <f t="shared" si="0"/>
        <v>22</v>
      </c>
      <c r="F25" s="172">
        <f t="shared" si="1"/>
        <v>2809.2349295151098</v>
      </c>
      <c r="G25" s="232"/>
      <c r="H25" s="174">
        <f t="shared" si="2"/>
        <v>833.48095821062418</v>
      </c>
      <c r="I25" s="175">
        <f t="shared" si="3"/>
        <v>0.28087373621050021</v>
      </c>
    </row>
    <row r="26" spans="1:9" x14ac:dyDescent="0.25">
      <c r="A26" s="170"/>
      <c r="E26" s="171">
        <f t="shared" si="0"/>
        <v>23</v>
      </c>
      <c r="F26" s="172">
        <f t="shared" si="1"/>
        <v>2879.0444175135599</v>
      </c>
      <c r="G26" s="232"/>
      <c r="H26" s="174">
        <f t="shared" si="2"/>
        <v>829.31355341957101</v>
      </c>
      <c r="I26" s="175">
        <f t="shared" si="3"/>
        <v>0.28929994829681521</v>
      </c>
    </row>
    <row r="27" spans="1:9" x14ac:dyDescent="0.25">
      <c r="A27" s="170"/>
      <c r="E27" s="171">
        <f t="shared" si="0"/>
        <v>24</v>
      </c>
      <c r="F27" s="172">
        <f t="shared" si="1"/>
        <v>2950.5886712887723</v>
      </c>
      <c r="G27" s="232"/>
      <c r="H27" s="174">
        <f t="shared" si="2"/>
        <v>825.16698565247316</v>
      </c>
      <c r="I27" s="175">
        <f t="shared" si="3"/>
        <v>0.29797894674571967</v>
      </c>
    </row>
    <row r="28" spans="1:9" ht="15.75" thickBot="1" x14ac:dyDescent="0.3">
      <c r="A28" s="170"/>
      <c r="E28" s="189">
        <f t="shared" si="0"/>
        <v>25</v>
      </c>
      <c r="F28" s="190">
        <f t="shared" si="1"/>
        <v>3023.9107997702977</v>
      </c>
      <c r="G28" s="237"/>
      <c r="H28" s="192">
        <f t="shared" si="2"/>
        <v>821.04115072421075</v>
      </c>
      <c r="I28" s="193">
        <f t="shared" si="3"/>
        <v>0.30691831514809126</v>
      </c>
    </row>
    <row r="29" spans="1:9" s="181" customFormat="1" ht="15.75" thickBot="1" x14ac:dyDescent="0.3">
      <c r="A29" s="170"/>
      <c r="B29" s="170"/>
      <c r="C29" s="170"/>
      <c r="D29" s="170"/>
      <c r="E29" s="170"/>
      <c r="F29" s="170"/>
      <c r="G29" s="170"/>
      <c r="H29" s="170"/>
      <c r="I29" s="170"/>
    </row>
    <row r="30" spans="1:9" ht="28.15" customHeight="1" x14ac:dyDescent="0.25">
      <c r="A30" s="170"/>
      <c r="E30" s="194" t="s">
        <v>44</v>
      </c>
      <c r="F30" s="195"/>
    </row>
    <row r="31" spans="1:9" x14ac:dyDescent="0.25">
      <c r="A31" s="170"/>
      <c r="E31" s="196" t="s">
        <v>71</v>
      </c>
      <c r="F31" s="197"/>
      <c r="G31" s="181"/>
      <c r="H31" s="181"/>
      <c r="I31" s="181"/>
    </row>
    <row r="32" spans="1:9" s="181" customFormat="1" ht="15.75" thickBot="1" x14ac:dyDescent="0.3">
      <c r="A32" s="170"/>
      <c r="B32" s="170"/>
      <c r="C32" s="170"/>
      <c r="D32" s="170"/>
      <c r="E32" s="198">
        <f>NPV(C4,F3:F28)</f>
        <v>31186.411297846877</v>
      </c>
      <c r="F32" s="199"/>
      <c r="G32" s="170"/>
      <c r="H32" s="170"/>
      <c r="I32" s="170"/>
    </row>
    <row r="33" spans="1:6" x14ac:dyDescent="0.25">
      <c r="A33" s="170"/>
      <c r="F33" s="238"/>
    </row>
    <row r="36" spans="1:6" x14ac:dyDescent="0.25">
      <c r="F36" s="202"/>
    </row>
    <row r="39" spans="1:6" x14ac:dyDescent="0.25">
      <c r="C39" s="239"/>
    </row>
    <row r="40" spans="1:6" x14ac:dyDescent="0.25">
      <c r="C40" s="239"/>
    </row>
    <row r="41" spans="1:6" x14ac:dyDescent="0.25">
      <c r="B41" s="188"/>
    </row>
    <row r="43" spans="1:6" x14ac:dyDescent="0.25">
      <c r="A43" s="200"/>
      <c r="D43" s="201"/>
    </row>
    <row r="44" spans="1:6" x14ac:dyDescent="0.25">
      <c r="B44" s="239"/>
      <c r="C44" s="239"/>
      <c r="E44" s="202"/>
    </row>
    <row r="45" spans="1:6" x14ac:dyDescent="0.25">
      <c r="B45" s="240"/>
      <c r="C45" s="239"/>
    </row>
    <row r="46" spans="1:6" x14ac:dyDescent="0.25">
      <c r="E46" s="202"/>
    </row>
    <row r="48" spans="1:6" x14ac:dyDescent="0.25">
      <c r="C48" s="204"/>
    </row>
    <row r="50" spans="3:5" x14ac:dyDescent="0.25">
      <c r="C50" s="239"/>
    </row>
    <row r="51" spans="3:5" x14ac:dyDescent="0.25">
      <c r="E51" s="202"/>
    </row>
  </sheetData>
  <sheetProtection algorithmName="SHA-512" hashValue="V6mjpGfxtStq/UsEe5OUX+nbPDAcOGwl3taNnWDtGKpMEpqli4djhshGpi2YXX+p45l4j16nPcLnOHU/UtYFVA==" saltValue="6vu0TptbxyqQviL1lTHItw==" spinCount="100000" sheet="1" objects="1" scenarios="1" selectLockedCells="1"/>
  <protectedRanges>
    <protectedRange sqref="C11:C12" name="Inputs"/>
  </protectedRanges>
  <mergeCells count="4">
    <mergeCell ref="B21:C22"/>
    <mergeCell ref="E30:F30"/>
    <mergeCell ref="E31:F31"/>
    <mergeCell ref="E32:F32"/>
  </mergeCells>
  <pageMargins left="0.25" right="0.25" top="0.75" bottom="0.75" header="0.3" footer="0.3"/>
  <pageSetup scale="6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172CCBE-176C-42D9-A271-42DE6203F717}">
          <x14:formula1>
            <xm:f>'Inputs (Hidden)'!$A$7:$A$10</xm:f>
          </x14:formula1>
          <xm:sqref>C10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ED2EC-3E22-4235-8B60-9652C3BB123E}">
  <dimension ref="A2:E7"/>
  <sheetViews>
    <sheetView showGridLines="0" zoomScaleNormal="100" workbookViewId="0">
      <selection sqref="A1:XFD1048576"/>
    </sheetView>
  </sheetViews>
  <sheetFormatPr defaultColWidth="9.140625" defaultRowHeight="15" x14ac:dyDescent="0.25"/>
  <cols>
    <col min="1" max="1" width="37.7109375" bestFit="1" customWidth="1"/>
  </cols>
  <sheetData>
    <row r="2" spans="1:5" x14ac:dyDescent="0.25">
      <c r="A2" s="24" t="s">
        <v>70</v>
      </c>
      <c r="B2" s="159" t="s">
        <v>143</v>
      </c>
      <c r="C2" s="159"/>
    </row>
    <row r="4" spans="1:5" ht="30" x14ac:dyDescent="0.25">
      <c r="A4" s="55"/>
      <c r="B4" s="135" t="s">
        <v>25</v>
      </c>
      <c r="C4" s="135" t="s">
        <v>26</v>
      </c>
      <c r="D4" s="135" t="s">
        <v>69</v>
      </c>
      <c r="E4" s="135" t="s">
        <v>28</v>
      </c>
    </row>
    <row r="5" spans="1:5" x14ac:dyDescent="0.25">
      <c r="A5" s="55" t="s">
        <v>53</v>
      </c>
      <c r="B5" s="130">
        <v>0.21569067645975348</v>
      </c>
      <c r="C5" s="130">
        <v>0.17963000000000001</v>
      </c>
      <c r="D5" s="130">
        <v>0.21002918097026063</v>
      </c>
      <c r="E5" s="130">
        <v>0.14068735318117104</v>
      </c>
    </row>
    <row r="6" spans="1:5" ht="30" x14ac:dyDescent="0.25">
      <c r="A6" s="129" t="s">
        <v>140</v>
      </c>
      <c r="B6" s="130">
        <v>0.1725525411678028</v>
      </c>
      <c r="C6" s="130">
        <v>0.14370400000000003</v>
      </c>
      <c r="D6" s="130">
        <v>0.16802334477620851</v>
      </c>
      <c r="E6" s="130">
        <v>0.11254988254493684</v>
      </c>
    </row>
    <row r="7" spans="1:5" ht="30" x14ac:dyDescent="0.25">
      <c r="A7" s="129" t="s">
        <v>141</v>
      </c>
      <c r="B7" s="130">
        <v>0.15098347352182742</v>
      </c>
      <c r="C7" s="130">
        <v>0.12574099999999999</v>
      </c>
      <c r="D7" s="130">
        <v>0.14702042667918244</v>
      </c>
      <c r="E7" s="130">
        <v>9.8481147226819721E-2</v>
      </c>
    </row>
  </sheetData>
  <sheetProtection algorithmName="SHA-512" hashValue="ufNKFhmC7gQjXT+BIWXpdrV3nU15XnGJ/pL0hprQRJnVppubnBamzBzDpK7VPDcN8gDecXEjwolml+bOq5vQqQ==" saltValue="Jf83fn3NBcjGt1I3TrLyUA==" spinCount="100000" sheet="1" objects="1" scenarios="1" selectLockedCells="1"/>
  <mergeCells count="1">
    <mergeCell ref="B2:C2"/>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D74C2-DAA4-4C78-B0A7-05C6138DD539}">
  <sheetPr>
    <tabColor rgb="FFFFFF00"/>
  </sheetPr>
  <dimension ref="A1:E19"/>
  <sheetViews>
    <sheetView zoomScale="95" zoomScaleNormal="95" workbookViewId="0">
      <selection activeCell="G17" sqref="G17"/>
    </sheetView>
  </sheetViews>
  <sheetFormatPr defaultRowHeight="15" x14ac:dyDescent="0.25"/>
  <cols>
    <col min="1" max="1" width="56" bestFit="1" customWidth="1"/>
    <col min="2" max="2" width="16.7109375" customWidth="1"/>
    <col min="3" max="3" width="19.5703125" bestFit="1" customWidth="1"/>
    <col min="4" max="4" width="22.42578125" bestFit="1" customWidth="1"/>
    <col min="5" max="5" width="14.28515625" bestFit="1" customWidth="1"/>
  </cols>
  <sheetData>
    <row r="1" spans="1:5" ht="15.75" thickBot="1" x14ac:dyDescent="0.3"/>
    <row r="2" spans="1:5" x14ac:dyDescent="0.25">
      <c r="A2" s="71" t="s">
        <v>20</v>
      </c>
    </row>
    <row r="3" spans="1:5" x14ac:dyDescent="0.25">
      <c r="A3" s="72" t="s">
        <v>21</v>
      </c>
    </row>
    <row r="4" spans="1:5" ht="15.75" thickBot="1" x14ac:dyDescent="0.3">
      <c r="A4" s="73" t="s">
        <v>22</v>
      </c>
    </row>
    <row r="5" spans="1:5" ht="15.75" thickBot="1" x14ac:dyDescent="0.3"/>
    <row r="6" spans="1:5" ht="60" x14ac:dyDescent="0.25">
      <c r="A6" s="68" t="s">
        <v>31</v>
      </c>
      <c r="B6" s="69" t="s">
        <v>32</v>
      </c>
      <c r="C6" s="69" t="s">
        <v>29</v>
      </c>
      <c r="D6" s="70" t="s">
        <v>30</v>
      </c>
    </row>
    <row r="7" spans="1:5" x14ac:dyDescent="0.25">
      <c r="A7" s="2" t="s">
        <v>25</v>
      </c>
      <c r="B7" s="131">
        <f>'Reference Values'!B5</f>
        <v>0.21569067645975348</v>
      </c>
      <c r="C7" s="131">
        <f>'Reference Values'!B6</f>
        <v>0.1725525411678028</v>
      </c>
      <c r="D7" s="132">
        <f>'Reference Values'!B7</f>
        <v>0.15098347352182742</v>
      </c>
    </row>
    <row r="8" spans="1:5" x14ac:dyDescent="0.25">
      <c r="A8" s="2" t="s">
        <v>26</v>
      </c>
      <c r="B8" s="131">
        <f>'Reference Values'!C5</f>
        <v>0.17963000000000001</v>
      </c>
      <c r="C8" s="131">
        <f>'Reference Values'!C6</f>
        <v>0.14370400000000003</v>
      </c>
      <c r="D8" s="132">
        <f>'Reference Values'!C7</f>
        <v>0.12574099999999999</v>
      </c>
    </row>
    <row r="9" spans="1:5" x14ac:dyDescent="0.25">
      <c r="A9" s="60" t="s">
        <v>27</v>
      </c>
      <c r="B9" s="131">
        <f>'Reference Values'!D5</f>
        <v>0.21002918097026063</v>
      </c>
      <c r="C9" s="131">
        <f>'Reference Values'!D6</f>
        <v>0.16802334477620851</v>
      </c>
      <c r="D9" s="132">
        <f>'Reference Values'!D7</f>
        <v>0.14702042667918244</v>
      </c>
    </row>
    <row r="10" spans="1:5" ht="15.75" thickBot="1" x14ac:dyDescent="0.3">
      <c r="A10" s="63" t="s">
        <v>28</v>
      </c>
      <c r="B10" s="133">
        <f>'Reference Values'!E5</f>
        <v>0.14068735318117104</v>
      </c>
      <c r="C10" s="133">
        <f>'Reference Values'!E6</f>
        <v>0.11254988254493684</v>
      </c>
      <c r="D10" s="134">
        <f>'Reference Values'!E7</f>
        <v>9.8481147226819721E-2</v>
      </c>
    </row>
    <row r="11" spans="1:5" ht="15.75" thickBot="1" x14ac:dyDescent="0.3">
      <c r="D11" s="54"/>
      <c r="E11" s="54"/>
    </row>
    <row r="12" spans="1:5" x14ac:dyDescent="0.25">
      <c r="A12" s="74" t="s">
        <v>65</v>
      </c>
      <c r="D12" s="56"/>
    </row>
    <row r="13" spans="1:5" x14ac:dyDescent="0.25">
      <c r="A13" s="72" t="s">
        <v>66</v>
      </c>
    </row>
    <row r="14" spans="1:5" ht="15.75" thickBot="1" x14ac:dyDescent="0.3">
      <c r="A14" s="73" t="s">
        <v>67</v>
      </c>
    </row>
    <row r="18" spans="1:2" x14ac:dyDescent="0.25">
      <c r="A18" s="57"/>
    </row>
    <row r="19" spans="1:2" x14ac:dyDescent="0.25">
      <c r="B19" s="5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148AAE66E00A4896E3F9FCB2FC0691" ma:contentTypeVersion="1" ma:contentTypeDescription="Create a new document." ma:contentTypeScope="" ma:versionID="b3551181b9de853868a9ed369d3638c0">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92F2F0-11A0-4F73-8AF4-861597E4E263}">
  <ds:schemaRefs>
    <ds:schemaRef ds:uri="http://schemas.microsoft.com/office/2006/documentManagement/types"/>
    <ds:schemaRef ds:uri="http://purl.org/dc/dcmitype/"/>
    <ds:schemaRef ds:uri="http://purl.org/dc/terms/"/>
    <ds:schemaRef ds:uri="http://www.w3.org/XML/1998/namespace"/>
    <ds:schemaRef ds:uri="http://purl.org/dc/elements/1.1/"/>
    <ds:schemaRef ds:uri="e880ae3c-bc7a-4d8f-912c-de531598b17a"/>
    <ds:schemaRef ds:uri="http://schemas.microsoft.com/office/infopath/2007/PartnerControls"/>
    <ds:schemaRef ds:uri="http://schemas.openxmlformats.org/package/2006/metadata/core-properties"/>
    <ds:schemaRef ds:uri="6089fd1a-ae38-47cb-b27b-d837eb2f9e33"/>
    <ds:schemaRef ds:uri="http://schemas.microsoft.com/office/2006/metadata/properties"/>
  </ds:schemaRefs>
</ds:datastoreItem>
</file>

<file path=customXml/itemProps2.xml><?xml version="1.0" encoding="utf-8"?>
<ds:datastoreItem xmlns:ds="http://schemas.openxmlformats.org/officeDocument/2006/customXml" ds:itemID="{4CA6BF31-7FAE-4484-BEF3-91DDD97EE4EE}">
  <ds:schemaRefs>
    <ds:schemaRef ds:uri="http://schemas.microsoft.com/sharepoint/v3/contenttype/forms"/>
  </ds:schemaRefs>
</ds:datastoreItem>
</file>

<file path=customXml/itemProps3.xml><?xml version="1.0" encoding="utf-8"?>
<ds:datastoreItem xmlns:ds="http://schemas.openxmlformats.org/officeDocument/2006/customXml" ds:itemID="{AEC2A720-034C-4546-8489-996ED08529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Introduction</vt:lpstr>
      <vt:lpstr>PPA</vt:lpstr>
      <vt:lpstr>Lease</vt:lpstr>
      <vt:lpstr>Loan</vt:lpstr>
      <vt:lpstr>System Purchase</vt:lpstr>
      <vt:lpstr>Reference Values</vt:lpstr>
      <vt:lpstr>Inputs (Hidden)</vt:lpstr>
      <vt:lpstr>Introduction!Print_Area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Staunton, Jonathon</dc:creator>
  <cp:keywords/>
  <dc:description/>
  <cp:lastModifiedBy>Brandon Bowser -MEA-</cp:lastModifiedBy>
  <cp:revision/>
  <cp:lastPrinted>2025-02-10T20:06:54Z</cp:lastPrinted>
  <dcterms:created xsi:type="dcterms:W3CDTF">2015-06-05T18:17:20Z</dcterms:created>
  <dcterms:modified xsi:type="dcterms:W3CDTF">2025-07-11T17:33:03Z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0x01010042148AAE66E00A4896E3F9FCB2FC0691</vt:lpwstr>
  </property>
  <property fmtid="{D5CDD505-2E9C-101B-9397-08002B2CF9AE}" pid="3" name="MediaServiceImageTags">
    <vt:lpwstr/>
  </property>
</Properties>
</file>