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vie.schwartz\Downloads\"/>
    </mc:Choice>
  </mc:AlternateContent>
  <xr:revisionPtr revIDLastSave="0" documentId="13_ncr:1_{6064B178-14B9-4E20-82FC-40ED85B480A2}" xr6:coauthVersionLast="47" xr6:coauthVersionMax="47" xr10:uidLastSave="{00000000-0000-0000-0000-000000000000}"/>
  <bookViews>
    <workbookView xWindow="-108" yWindow="-108" windowWidth="23256" windowHeight="12576" xr2:uid="{68D456F5-7C09-4DE9-B456-8E08D4451F54}"/>
  </bookViews>
  <sheets>
    <sheet name="Calculator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9" l="1"/>
  <c r="B25" i="19" l="1"/>
  <c r="K4" i="19" l="1"/>
  <c r="J4" i="19"/>
  <c r="E4" i="19"/>
  <c r="E5" i="19" s="1"/>
  <c r="K5" i="19" l="1"/>
  <c r="F4" i="19"/>
  <c r="J5" i="19"/>
  <c r="E6" i="19"/>
  <c r="K6" i="19" s="1"/>
  <c r="F5" i="19" l="1"/>
  <c r="J6" i="19"/>
  <c r="E7" i="19"/>
  <c r="K7" i="19" s="1"/>
  <c r="F6" i="19" l="1"/>
  <c r="E8" i="19"/>
  <c r="K8" i="19" s="1"/>
  <c r="J7" i="19"/>
  <c r="F7" i="19" l="1"/>
  <c r="E9" i="19"/>
  <c r="K9" i="19" s="1"/>
  <c r="J8" i="19"/>
  <c r="F8" i="19" l="1"/>
  <c r="J9" i="19"/>
  <c r="E10" i="19"/>
  <c r="K10" i="19" s="1"/>
  <c r="F9" i="19" l="1"/>
  <c r="E11" i="19"/>
  <c r="K11" i="19" s="1"/>
  <c r="J10" i="19"/>
  <c r="F10" i="19" l="1"/>
  <c r="J11" i="19"/>
  <c r="E12" i="19"/>
  <c r="K12" i="19" s="1"/>
  <c r="F11" i="19" l="1"/>
  <c r="J12" i="19"/>
  <c r="E13" i="19"/>
  <c r="K13" i="19" s="1"/>
  <c r="F12" i="19" l="1"/>
  <c r="E14" i="19"/>
  <c r="K14" i="19" s="1"/>
  <c r="J13" i="19"/>
  <c r="F13" i="19" l="1"/>
  <c r="E15" i="19"/>
  <c r="K15" i="19" s="1"/>
  <c r="J14" i="19"/>
  <c r="F14" i="19" l="1"/>
  <c r="J15" i="19"/>
  <c r="E16" i="19"/>
  <c r="K16" i="19" s="1"/>
  <c r="E17" i="19" l="1"/>
  <c r="K17" i="19" s="1"/>
  <c r="J16" i="19"/>
  <c r="F15" i="19"/>
  <c r="F16" i="19" l="1"/>
  <c r="J17" i="19"/>
  <c r="E18" i="19"/>
  <c r="K18" i="19" s="1"/>
  <c r="F17" i="19" l="1"/>
  <c r="J18" i="19"/>
  <c r="E19" i="19"/>
  <c r="K19" i="19" s="1"/>
  <c r="F18" i="19"/>
  <c r="E20" i="19" l="1"/>
  <c r="K20" i="19" s="1"/>
  <c r="J19" i="19"/>
  <c r="F19" i="19" l="1"/>
  <c r="J20" i="19"/>
  <c r="E21" i="19"/>
  <c r="K21" i="19" s="1"/>
  <c r="F20" i="19" l="1"/>
  <c r="J21" i="19"/>
  <c r="E22" i="19"/>
  <c r="K22" i="19" s="1"/>
  <c r="F21" i="19" l="1"/>
  <c r="J22" i="19"/>
  <c r="E23" i="19"/>
  <c r="K23" i="19" s="1"/>
  <c r="F22" i="19" l="1"/>
  <c r="E24" i="19"/>
  <c r="K24" i="19" s="1"/>
  <c r="J23" i="19"/>
  <c r="F23" i="19" l="1"/>
  <c r="J24" i="19"/>
  <c r="E25" i="19"/>
  <c r="K25" i="19" s="1"/>
  <c r="F24" i="19" l="1"/>
  <c r="E26" i="19"/>
  <c r="K26" i="19" s="1"/>
  <c r="J25" i="19"/>
  <c r="F25" i="19" l="1"/>
  <c r="J26" i="19"/>
  <c r="E27" i="19"/>
  <c r="K27" i="19" s="1"/>
  <c r="F26" i="19" l="1"/>
  <c r="E28" i="19"/>
  <c r="K28" i="19" s="1"/>
  <c r="J27" i="19"/>
  <c r="F27" i="19" l="1"/>
  <c r="J28" i="19"/>
  <c r="F28" i="19" l="1"/>
  <c r="F32" i="19" l="1"/>
  <c r="C17" i="19" s="1"/>
  <c r="C16" i="19"/>
  <c r="G4" i="19" s="1"/>
  <c r="C24" i="19"/>
  <c r="C25" i="19" s="1"/>
  <c r="H4" i="19"/>
  <c r="G5" i="19" l="1"/>
  <c r="G6" i="19" s="1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H5" i="19"/>
  <c r="H6" i="19" s="1"/>
  <c r="H7" i="19" s="1"/>
  <c r="H8" i="19" s="1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32" i="19" l="1"/>
  <c r="G32" i="19"/>
</calcChain>
</file>

<file path=xl/sharedStrings.xml><?xml version="1.0" encoding="utf-8"?>
<sst xmlns="http://schemas.openxmlformats.org/spreadsheetml/2006/main" count="54" uniqueCount="54">
  <si>
    <t>Year</t>
  </si>
  <si>
    <t>Avg. System Production [kWh/mo]</t>
  </si>
  <si>
    <t>PPA Rates [$/kWh]</t>
  </si>
  <si>
    <t>System Owner NPV Discount Rate [%]</t>
  </si>
  <si>
    <t>First-Year Projected Total PV Generation [kWh/yr]</t>
  </si>
  <si>
    <t>PPA and Lease Term, System Lifespan (25-Year Maximum) [yrs]</t>
  </si>
  <si>
    <t>PPA</t>
  </si>
  <si>
    <t>Lease</t>
  </si>
  <si>
    <t>Loan</t>
  </si>
  <si>
    <t>Maximum First-Year PPA Rate [$/kWh]</t>
  </si>
  <si>
    <t>Lease Escalator [%/yr]</t>
  </si>
  <si>
    <t>PPA Cost [$/yr]</t>
  </si>
  <si>
    <t>Lease Cost [$/yr]</t>
  </si>
  <si>
    <t>Loan Cost [$/yr]</t>
  </si>
  <si>
    <t>Loan Interest Rate [%/yr]</t>
  </si>
  <si>
    <t>Maximum Loan Payment [$/mo]</t>
  </si>
  <si>
    <t>Maximum First-Month Lease Payment [$/mo]</t>
  </si>
  <si>
    <t>Maximum System Purchase Cost, Post-Incentives and Rebates [$]</t>
  </si>
  <si>
    <t>Loan Inputs and Outputs</t>
  </si>
  <si>
    <t>System, PPA, Lease, and Rate Inputs</t>
  </si>
  <si>
    <t>Loan Term (25-Year Maximum) [yrs]</t>
  </si>
  <si>
    <t>Loan Principal (Post-Incentives and Rebates, Fees Included) [$]</t>
  </si>
  <si>
    <t>Net Present Value (Cost to Customer)</t>
  </si>
  <si>
    <t>Solve for Loan Interest Rate or Loan Principal:</t>
  </si>
  <si>
    <t>PPA Escalator [%/yr]</t>
  </si>
  <si>
    <t>1a</t>
  </si>
  <si>
    <t>1b</t>
  </si>
  <si>
    <t>2a</t>
  </si>
  <si>
    <t>2b</t>
  </si>
  <si>
    <t>2c</t>
  </si>
  <si>
    <t>2d</t>
  </si>
  <si>
    <t>2e</t>
  </si>
  <si>
    <t>3a</t>
  </si>
  <si>
    <t>3b</t>
  </si>
  <si>
    <t>3c</t>
  </si>
  <si>
    <t>4a</t>
  </si>
  <si>
    <t>4b</t>
  </si>
  <si>
    <t>4c</t>
  </si>
  <si>
    <t>4d</t>
  </si>
  <si>
    <t>4f</t>
  </si>
  <si>
    <t>4e</t>
  </si>
  <si>
    <t>5a</t>
  </si>
  <si>
    <t>5b</t>
  </si>
  <si>
    <t>5c</t>
  </si>
  <si>
    <t>5d</t>
  </si>
  <si>
    <t>5f</t>
  </si>
  <si>
    <t>5e</t>
  </si>
  <si>
    <t>Static Assumed Values</t>
  </si>
  <si>
    <t>Maximum-Equivalent Offer Calculator</t>
  </si>
  <si>
    <t>Annual Degradation Rate [%]</t>
  </si>
  <si>
    <t>Equivalent Maximum Offers</t>
  </si>
  <si>
    <r>
      <t xml:space="preserve">Maximum-Offer: First Year PPA Rate </t>
    </r>
    <r>
      <rPr>
        <u/>
        <sz val="11"/>
        <color theme="1"/>
        <rFont val="Calibri"/>
        <family val="2"/>
        <scheme val="minor"/>
      </rPr>
      <t>with escalator</t>
    </r>
    <r>
      <rPr>
        <sz val="11"/>
        <color theme="1"/>
        <rFont val="Calibri"/>
        <family val="2"/>
        <scheme val="minor"/>
      </rPr>
      <t xml:space="preserve"> [$/kWh]</t>
    </r>
  </si>
  <si>
    <t>Gray Cells: Static values, not to be edited.
Yellow Cells: Input values.
Blue Cells: Output values.</t>
  </si>
  <si>
    <t>Principal [$]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</si>
</sst>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_);\(&quot;$&quot;#,##0.000\)"/>
    <numFmt numFmtId="166" formatCode="_(&quot;$&quot;* #,##0.000_);_(&quot;$&quot;* \(#,##0.000\);_(&quot;$&quot;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?_);_(@_)"/>
    <numFmt numFmtId="169" formatCode="&quot;$&quot;#,##0.00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1" fillId="6" borderId="8" xfId="0" applyFont="1" applyFill="1" applyBorder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2" fillId="3" borderId="8" xfId="0" applyFont="1" applyFill="1" applyBorder="1"/>
    <xf numFmtId="0" fontId="2" fillId="3" borderId="5" xfId="0" applyFont="1" applyFill="1" applyBorder="1"/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7" borderId="8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0" fillId="8" borderId="19" xfId="0" applyFill="1" applyBorder="1"/>
    <xf numFmtId="6" fontId="0" fillId="0" borderId="0" xfId="0" applyNumberFormat="1" applyAlignment="1">
      <alignment horizontal="center"/>
    </xf>
    <xf numFmtId="5" fontId="0" fillId="0" borderId="0" xfId="0" applyNumberFormat="1"/>
    <xf numFmtId="9" fontId="0" fillId="0" borderId="0" xfId="0" applyNumberFormat="1"/>
    <xf numFmtId="8" fontId="0" fillId="0" borderId="0" xfId="0" applyNumberFormat="1" applyAlignment="1">
      <alignment horizontal="center"/>
    </xf>
    <xf numFmtId="168" fontId="0" fillId="0" borderId="0" xfId="0" applyNumberFormat="1"/>
    <xf numFmtId="44" fontId="0" fillId="0" borderId="0" xfId="0" applyNumberFormat="1"/>
    <xf numFmtId="6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7" fontId="0" fillId="0" borderId="0" xfId="0" applyNumberFormat="1"/>
    <xf numFmtId="0" fontId="4" fillId="0" borderId="4" xfId="0" applyFont="1" applyBorder="1"/>
    <xf numFmtId="0" fontId="1" fillId="0" borderId="0" xfId="0" applyFont="1"/>
    <xf numFmtId="0" fontId="4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5" borderId="5" xfId="0" applyFont="1" applyFill="1" applyBorder="1" applyAlignment="1">
      <alignment horizontal="center" wrapText="1"/>
    </xf>
    <xf numFmtId="169" fontId="1" fillId="9" borderId="11" xfId="0" applyNumberFormat="1" applyFont="1" applyFill="1" applyBorder="1" applyAlignment="1">
      <alignment horizontal="right"/>
    </xf>
    <xf numFmtId="164" fontId="1" fillId="9" borderId="11" xfId="0" applyNumberFormat="1" applyFont="1" applyFill="1" applyBorder="1" applyAlignment="1">
      <alignment horizontal="right"/>
    </xf>
    <xf numFmtId="10" fontId="6" fillId="9" borderId="25" xfId="0" applyNumberFormat="1" applyFont="1" applyFill="1" applyBorder="1" applyAlignment="1">
      <alignment horizontal="right"/>
    </xf>
    <xf numFmtId="6" fontId="1" fillId="9" borderId="6" xfId="0" applyNumberFormat="1" applyFont="1" applyFill="1" applyBorder="1"/>
    <xf numFmtId="6" fontId="1" fillId="9" borderId="10" xfId="0" applyNumberFormat="1" applyFont="1" applyFill="1" applyBorder="1"/>
    <xf numFmtId="6" fontId="1" fillId="9" borderId="9" xfId="0" applyNumberFormat="1" applyFont="1" applyFill="1" applyBorder="1"/>
    <xf numFmtId="170" fontId="0" fillId="4" borderId="7" xfId="2" applyNumberFormat="1" applyFont="1" applyFill="1" applyBorder="1" applyAlignment="1">
      <alignment horizontal="right"/>
    </xf>
    <xf numFmtId="10" fontId="0" fillId="4" borderId="7" xfId="1" applyNumberFormat="1" applyFont="1" applyFill="1" applyBorder="1" applyAlignment="1">
      <alignment horizontal="right"/>
    </xf>
    <xf numFmtId="166" fontId="0" fillId="4" borderId="9" xfId="0" applyNumberFormat="1" applyFill="1" applyBorder="1" applyAlignment="1">
      <alignment horizontal="right"/>
    </xf>
    <xf numFmtId="1" fontId="4" fillId="4" borderId="7" xfId="0" applyNumberFormat="1" applyFont="1" applyFill="1" applyBorder="1" applyAlignment="1">
      <alignment horizontal="right"/>
    </xf>
    <xf numFmtId="167" fontId="4" fillId="4" borderId="7" xfId="0" applyNumberFormat="1" applyFont="1" applyFill="1" applyBorder="1" applyAlignment="1">
      <alignment horizontal="right"/>
    </xf>
    <xf numFmtId="10" fontId="0" fillId="4" borderId="23" xfId="1" applyNumberFormat="1" applyFont="1" applyFill="1" applyBorder="1" applyAlignment="1">
      <alignment horizontal="right"/>
    </xf>
    <xf numFmtId="0" fontId="0" fillId="10" borderId="7" xfId="0" applyFill="1" applyBorder="1" applyAlignment="1">
      <alignment horizontal="right"/>
    </xf>
    <xf numFmtId="10" fontId="0" fillId="10" borderId="9" xfId="0" applyNumberFormat="1" applyFill="1" applyBorder="1" applyAlignment="1">
      <alignment horizontal="right"/>
    </xf>
    <xf numFmtId="10" fontId="0" fillId="10" borderId="7" xfId="1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5" fontId="0" fillId="0" borderId="4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167" fontId="0" fillId="0" borderId="21" xfId="0" applyNumberFormat="1" applyBorder="1" applyAlignment="1">
      <alignment horizontal="right"/>
    </xf>
    <xf numFmtId="0" fontId="0" fillId="0" borderId="18" xfId="0" applyBorder="1"/>
    <xf numFmtId="5" fontId="0" fillId="0" borderId="7" xfId="0" applyNumberFormat="1" applyBorder="1" applyAlignment="1">
      <alignment horizontal="right"/>
    </xf>
    <xf numFmtId="0" fontId="4" fillId="0" borderId="4" xfId="0" applyFont="1" applyBorder="1" applyAlignment="1">
      <alignment horizontal="center"/>
    </xf>
    <xf numFmtId="5" fontId="4" fillId="0" borderId="4" xfId="0" applyNumberFormat="1" applyFont="1" applyBorder="1"/>
    <xf numFmtId="5" fontId="0" fillId="0" borderId="13" xfId="0" applyNumberFormat="1" applyBorder="1"/>
    <xf numFmtId="1" fontId="4" fillId="0" borderId="16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4" fillId="0" borderId="18" xfId="0" applyFont="1" applyBorder="1"/>
    <xf numFmtId="0" fontId="0" fillId="0" borderId="6" xfId="0" applyBorder="1" applyAlignment="1">
      <alignment horizontal="center"/>
    </xf>
    <xf numFmtId="5" fontId="4" fillId="0" borderId="6" xfId="0" applyNumberFormat="1" applyFont="1" applyBorder="1"/>
    <xf numFmtId="5" fontId="0" fillId="0" borderId="14" xfId="0" applyNumberFormat="1" applyBorder="1"/>
    <xf numFmtId="0" fontId="4" fillId="0" borderId="20" xfId="0" applyFont="1" applyBorder="1"/>
    <xf numFmtId="1" fontId="0" fillId="0" borderId="17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0" fontId="0" fillId="10" borderId="7" xfId="0" applyNumberForma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5">
    <dxf>
      <numFmt numFmtId="14" formatCode="0.00%"/>
    </dxf>
    <dxf>
      <numFmt numFmtId="164" formatCode="&quot;$&quot;#,##0.00"/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b val="0"/>
        <i val="0"/>
        <color theme="2" tint="-9.9948118533890809E-2"/>
      </font>
      <fill>
        <patternFill>
          <fgColor theme="2" tint="-9.9917600024414813E-2"/>
          <bgColor theme="2" tint="-9.9948118533890809E-2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2410-FA9D-483C-B629-51900CAFD6E8}">
  <dimension ref="A1:M56"/>
  <sheetViews>
    <sheetView tabSelected="1" zoomScaleNormal="100" workbookViewId="0">
      <selection activeCell="C26" sqref="C26"/>
    </sheetView>
  </sheetViews>
  <sheetFormatPr defaultColWidth="10" defaultRowHeight="14.4" x14ac:dyDescent="0.3"/>
  <cols>
    <col min="1" max="1" width="6.33203125" style="1" customWidth="1"/>
    <col min="2" max="2" width="64.44140625" bestFit="1" customWidth="1"/>
    <col min="3" max="3" width="11.88671875" bestFit="1" customWidth="1"/>
    <col min="4" max="4" width="6.88671875" customWidth="1"/>
    <col min="5" max="8" width="12.6640625" style="1" customWidth="1"/>
    <col min="9" max="9" width="1.33203125" customWidth="1"/>
    <col min="10" max="11" width="12.6640625" customWidth="1"/>
    <col min="12" max="12" width="4.88671875" customWidth="1"/>
    <col min="13" max="13" width="5.33203125" customWidth="1"/>
    <col min="14" max="14" width="6.6640625" customWidth="1"/>
  </cols>
  <sheetData>
    <row r="1" spans="1:13" ht="18.600000000000001" thickBot="1" x14ac:dyDescent="0.4">
      <c r="B1" s="6" t="s">
        <v>48</v>
      </c>
      <c r="F1" s="34" t="s">
        <v>41</v>
      </c>
      <c r="G1" s="34" t="s">
        <v>42</v>
      </c>
      <c r="H1" s="34" t="s">
        <v>43</v>
      </c>
      <c r="I1" s="35"/>
      <c r="J1" s="34" t="s">
        <v>44</v>
      </c>
      <c r="K1" s="34" t="s">
        <v>46</v>
      </c>
    </row>
    <row r="2" spans="1:13" ht="43.8" thickBot="1" x14ac:dyDescent="0.35">
      <c r="B2" s="38" t="s">
        <v>52</v>
      </c>
      <c r="E2" s="3" t="s">
        <v>0</v>
      </c>
      <c r="F2" s="15" t="s">
        <v>11</v>
      </c>
      <c r="G2" s="16" t="s">
        <v>12</v>
      </c>
      <c r="H2" s="16" t="s">
        <v>13</v>
      </c>
      <c r="I2" s="18"/>
      <c r="J2" s="17" t="s">
        <v>1</v>
      </c>
      <c r="K2" s="39" t="s">
        <v>2</v>
      </c>
    </row>
    <row r="3" spans="1:13" ht="15.6" x14ac:dyDescent="0.3">
      <c r="B3" s="8" t="s">
        <v>47</v>
      </c>
      <c r="C3" s="9"/>
      <c r="E3" s="55">
        <v>0</v>
      </c>
      <c r="F3" s="56"/>
      <c r="G3" s="57"/>
      <c r="H3" s="58"/>
      <c r="I3" s="59"/>
      <c r="J3" s="57"/>
      <c r="K3" s="60"/>
      <c r="M3" s="25"/>
    </row>
    <row r="4" spans="1:13" ht="18" x14ac:dyDescent="0.35">
      <c r="A4" s="34" t="s">
        <v>25</v>
      </c>
      <c r="B4" s="2" t="s">
        <v>3</v>
      </c>
      <c r="C4" s="75">
        <v>4.7500000000000001E-2</v>
      </c>
      <c r="E4" s="61">
        <f t="shared" ref="E4:E28" si="0">IF(E3&gt;=$C$9,"",E3+1)</f>
        <v>1</v>
      </c>
      <c r="F4" s="62">
        <f>K4*J4*12</f>
        <v>1533.4560000000001</v>
      </c>
      <c r="G4" s="63">
        <f>C16*12</f>
        <v>1972.0949009759097</v>
      </c>
      <c r="H4" s="63">
        <f>((NPV(C4,F4:F28)*C4)/(1-(1+C4)^-C20))</f>
        <v>1972.0949009759099</v>
      </c>
      <c r="I4" s="59"/>
      <c r="J4" s="64">
        <f>C8/12</f>
        <v>926</v>
      </c>
      <c r="K4" s="65">
        <f>C12</f>
        <v>0.13800000000000001</v>
      </c>
      <c r="M4" s="26"/>
    </row>
    <row r="5" spans="1:13" ht="18.600000000000001" thickBot="1" x14ac:dyDescent="0.4">
      <c r="A5" s="34" t="s">
        <v>26</v>
      </c>
      <c r="B5" s="12" t="s">
        <v>49</v>
      </c>
      <c r="C5" s="53">
        <v>5.0000000000000001E-3</v>
      </c>
      <c r="E5" s="55">
        <f t="shared" si="0"/>
        <v>2</v>
      </c>
      <c r="F5" s="62">
        <f t="shared" ref="F5:F28" si="1">IF($E5&lt;&gt;"",J5*K5*12,"")</f>
        <v>1571.5623816000002</v>
      </c>
      <c r="G5" s="63">
        <f t="shared" ref="G5:G28" si="2">IF($E5&lt;&gt;"",G4*(1+$C$11),"")</f>
        <v>1972.0949009759097</v>
      </c>
      <c r="H5" s="63">
        <f t="shared" ref="H5:H28" si="3">IF($E5&lt;=$C$20,H4,"")</f>
        <v>1972.0949009759099</v>
      </c>
      <c r="I5" s="59"/>
      <c r="J5" s="66">
        <f t="shared" ref="J5:J28" si="4">IF($E5&lt;&gt;"",J4*(1-$C$5),"")</f>
        <v>921.37</v>
      </c>
      <c r="K5" s="67">
        <f>IF($E5&lt;&gt;"",K4*(1+$C$10),"")</f>
        <v>0.14214000000000002</v>
      </c>
      <c r="M5" s="23"/>
    </row>
    <row r="6" spans="1:13" ht="18.600000000000001" thickBot="1" x14ac:dyDescent="0.4">
      <c r="A6" s="34"/>
      <c r="E6" s="55">
        <f t="shared" si="0"/>
        <v>3</v>
      </c>
      <c r="F6" s="62">
        <f t="shared" si="1"/>
        <v>1610.6157067827601</v>
      </c>
      <c r="G6" s="63">
        <f t="shared" si="2"/>
        <v>1972.0949009759097</v>
      </c>
      <c r="H6" s="63">
        <f t="shared" si="3"/>
        <v>1972.0949009759099</v>
      </c>
      <c r="I6" s="59"/>
      <c r="J6" s="66">
        <f t="shared" si="4"/>
        <v>916.76315</v>
      </c>
      <c r="K6" s="67">
        <f t="shared" ref="K6:K28" si="5">IF($E6&lt;&gt;"",K5*(1+$C$10),"")</f>
        <v>0.14640420000000001</v>
      </c>
    </row>
    <row r="7" spans="1:13" ht="18" x14ac:dyDescent="0.35">
      <c r="A7" s="34"/>
      <c r="B7" s="8" t="s">
        <v>19</v>
      </c>
      <c r="C7" s="9"/>
      <c r="E7" s="55">
        <f t="shared" si="0"/>
        <v>4</v>
      </c>
      <c r="F7" s="62">
        <f t="shared" si="1"/>
        <v>1650.6395070963117</v>
      </c>
      <c r="G7" s="63">
        <f t="shared" si="2"/>
        <v>1972.0949009759097</v>
      </c>
      <c r="H7" s="63">
        <f t="shared" si="3"/>
        <v>1972.0949009759099</v>
      </c>
      <c r="I7" s="59"/>
      <c r="J7" s="66">
        <f t="shared" si="4"/>
        <v>912.17933425000001</v>
      </c>
      <c r="K7" s="67">
        <f t="shared" si="5"/>
        <v>0.15079632600000001</v>
      </c>
    </row>
    <row r="8" spans="1:13" ht="18" x14ac:dyDescent="0.35">
      <c r="A8" s="34" t="s">
        <v>27</v>
      </c>
      <c r="B8" s="10" t="s">
        <v>4</v>
      </c>
      <c r="C8" s="46">
        <v>11112</v>
      </c>
      <c r="E8" s="55">
        <f t="shared" si="0"/>
        <v>5</v>
      </c>
      <c r="F8" s="62">
        <f t="shared" si="1"/>
        <v>1691.6578988476554</v>
      </c>
      <c r="G8" s="63">
        <f t="shared" si="2"/>
        <v>1972.0949009759097</v>
      </c>
      <c r="H8" s="63">
        <f t="shared" si="3"/>
        <v>1972.0949009759099</v>
      </c>
      <c r="I8" s="59"/>
      <c r="J8" s="66">
        <f t="shared" si="4"/>
        <v>907.61843757874999</v>
      </c>
      <c r="K8" s="67">
        <f t="shared" si="5"/>
        <v>0.15532021578000002</v>
      </c>
    </row>
    <row r="9" spans="1:13" ht="18" x14ac:dyDescent="0.35">
      <c r="A9" s="34" t="s">
        <v>28</v>
      </c>
      <c r="B9" s="10" t="s">
        <v>5</v>
      </c>
      <c r="C9" s="52">
        <v>25</v>
      </c>
      <c r="E9" s="55">
        <f t="shared" si="0"/>
        <v>6</v>
      </c>
      <c r="F9" s="62">
        <f t="shared" si="1"/>
        <v>1733.6955976340194</v>
      </c>
      <c r="G9" s="63">
        <f t="shared" si="2"/>
        <v>1972.0949009759097</v>
      </c>
      <c r="H9" s="63">
        <f t="shared" si="3"/>
        <v>1972.0949009759099</v>
      </c>
      <c r="I9" s="59"/>
      <c r="J9" s="66">
        <f t="shared" si="4"/>
        <v>903.08034539085622</v>
      </c>
      <c r="K9" s="67">
        <f t="shared" si="5"/>
        <v>0.15997982225340002</v>
      </c>
    </row>
    <row r="10" spans="1:13" ht="18" x14ac:dyDescent="0.35">
      <c r="A10" s="34" t="s">
        <v>29</v>
      </c>
      <c r="B10" s="10" t="s">
        <v>24</v>
      </c>
      <c r="C10" s="54">
        <v>0.03</v>
      </c>
      <c r="E10" s="61">
        <f t="shared" si="0"/>
        <v>7</v>
      </c>
      <c r="F10" s="62">
        <f t="shared" si="1"/>
        <v>1776.7779332352247</v>
      </c>
      <c r="G10" s="63">
        <f t="shared" si="2"/>
        <v>1972.0949009759097</v>
      </c>
      <c r="H10" s="63">
        <f t="shared" si="3"/>
        <v>1972.0949009759099</v>
      </c>
      <c r="I10" s="59"/>
      <c r="J10" s="66">
        <f t="shared" si="4"/>
        <v>898.56494366390189</v>
      </c>
      <c r="K10" s="67">
        <f t="shared" si="5"/>
        <v>0.16477921692100203</v>
      </c>
    </row>
    <row r="11" spans="1:13" ht="18" x14ac:dyDescent="0.35">
      <c r="A11" s="34" t="s">
        <v>30</v>
      </c>
      <c r="B11" s="10" t="s">
        <v>10</v>
      </c>
      <c r="C11" s="47">
        <v>0</v>
      </c>
      <c r="E11" s="55">
        <f t="shared" si="0"/>
        <v>8</v>
      </c>
      <c r="F11" s="62">
        <f t="shared" si="1"/>
        <v>1820.9308648761203</v>
      </c>
      <c r="G11" s="63">
        <f t="shared" si="2"/>
        <v>1972.0949009759097</v>
      </c>
      <c r="H11" s="63">
        <f t="shared" si="3"/>
        <v>1972.0949009759099</v>
      </c>
      <c r="I11" s="59"/>
      <c r="J11" s="66">
        <f t="shared" si="4"/>
        <v>894.07211894558236</v>
      </c>
      <c r="K11" s="67">
        <f t="shared" si="5"/>
        <v>0.16972259342863211</v>
      </c>
    </row>
    <row r="12" spans="1:13" ht="18.600000000000001" thickBot="1" x14ac:dyDescent="0.4">
      <c r="A12" s="34" t="s">
        <v>31</v>
      </c>
      <c r="B12" s="12" t="s">
        <v>51</v>
      </c>
      <c r="C12" s="48">
        <v>0.13800000000000001</v>
      </c>
      <c r="E12" s="55">
        <f t="shared" si="0"/>
        <v>9</v>
      </c>
      <c r="F12" s="62">
        <f t="shared" si="1"/>
        <v>1866.1809968682917</v>
      </c>
      <c r="G12" s="63">
        <f t="shared" si="2"/>
        <v>1972.0949009759097</v>
      </c>
      <c r="H12" s="63">
        <f t="shared" si="3"/>
        <v>1972.0949009759099</v>
      </c>
      <c r="I12" s="59"/>
      <c r="J12" s="66">
        <f t="shared" si="4"/>
        <v>889.60175835085442</v>
      </c>
      <c r="K12" s="67">
        <f t="shared" si="5"/>
        <v>0.17481427123149107</v>
      </c>
    </row>
    <row r="13" spans="1:13" ht="18.600000000000001" thickBot="1" x14ac:dyDescent="0.4">
      <c r="A13" s="34"/>
      <c r="E13" s="55">
        <f t="shared" si="0"/>
        <v>10</v>
      </c>
      <c r="F13" s="62">
        <f t="shared" si="1"/>
        <v>1912.5555946404684</v>
      </c>
      <c r="G13" s="63">
        <f t="shared" si="2"/>
        <v>1972.0949009759097</v>
      </c>
      <c r="H13" s="63">
        <f t="shared" si="3"/>
        <v>1972.0949009759099</v>
      </c>
      <c r="I13" s="59"/>
      <c r="J13" s="66">
        <f t="shared" si="4"/>
        <v>885.15374955910011</v>
      </c>
      <c r="K13" s="67">
        <f t="shared" si="5"/>
        <v>0.1800586993684358</v>
      </c>
    </row>
    <row r="14" spans="1:13" ht="18.600000000000001" thickBot="1" x14ac:dyDescent="0.4">
      <c r="A14" s="34"/>
      <c r="B14" s="8" t="s">
        <v>50</v>
      </c>
      <c r="C14" s="9"/>
      <c r="E14" s="55">
        <f t="shared" si="0"/>
        <v>11</v>
      </c>
      <c r="F14" s="62">
        <f t="shared" si="1"/>
        <v>1960.0826011672843</v>
      </c>
      <c r="G14" s="63">
        <f t="shared" si="2"/>
        <v>1972.0949009759097</v>
      </c>
      <c r="H14" s="63">
        <f t="shared" si="3"/>
        <v>1972.0949009759099</v>
      </c>
      <c r="I14" s="59"/>
      <c r="J14" s="66">
        <f t="shared" si="4"/>
        <v>880.72798081130463</v>
      </c>
      <c r="K14" s="67">
        <f t="shared" si="5"/>
        <v>0.18546046034948888</v>
      </c>
    </row>
    <row r="15" spans="1:13" ht="18.600000000000001" thickBot="1" x14ac:dyDescent="0.4">
      <c r="A15" s="34" t="s">
        <v>32</v>
      </c>
      <c r="B15" s="7" t="s">
        <v>9</v>
      </c>
      <c r="C15" s="40">
        <f>C12</f>
        <v>0.13800000000000001</v>
      </c>
      <c r="E15" s="55">
        <f t="shared" si="0"/>
        <v>12</v>
      </c>
      <c r="F15" s="62">
        <f t="shared" si="1"/>
        <v>2008.7906538062916</v>
      </c>
      <c r="G15" s="63">
        <f t="shared" si="2"/>
        <v>1972.0949009759097</v>
      </c>
      <c r="H15" s="63">
        <f t="shared" si="3"/>
        <v>1972.0949009759099</v>
      </c>
      <c r="I15" s="59"/>
      <c r="J15" s="66">
        <f t="shared" si="4"/>
        <v>876.32434090724814</v>
      </c>
      <c r="K15" s="67">
        <f t="shared" si="5"/>
        <v>0.19102427415997356</v>
      </c>
    </row>
    <row r="16" spans="1:13" ht="18.600000000000001" thickBot="1" x14ac:dyDescent="0.4">
      <c r="A16" s="34" t="s">
        <v>33</v>
      </c>
      <c r="B16" s="7" t="s">
        <v>16</v>
      </c>
      <c r="C16" s="41">
        <f>(NPV(C4,F4:F28)*(C4-C11)/(1-(1+C11)^C9*(1+C4)^-C9)/12)</f>
        <v>164.34124174799248</v>
      </c>
      <c r="E16" s="55">
        <f t="shared" si="0"/>
        <v>13</v>
      </c>
      <c r="F16" s="62">
        <f t="shared" si="1"/>
        <v>2058.7091015533779</v>
      </c>
      <c r="G16" s="63">
        <f t="shared" si="2"/>
        <v>1972.0949009759097</v>
      </c>
      <c r="H16" s="63">
        <f t="shared" si="3"/>
        <v>1972.0949009759099</v>
      </c>
      <c r="I16" s="59"/>
      <c r="J16" s="66">
        <f t="shared" si="4"/>
        <v>871.94271920271194</v>
      </c>
      <c r="K16" s="67">
        <f t="shared" si="5"/>
        <v>0.19675500238477278</v>
      </c>
    </row>
    <row r="17" spans="1:11" ht="18.600000000000001" thickBot="1" x14ac:dyDescent="0.4">
      <c r="A17" s="34" t="s">
        <v>34</v>
      </c>
      <c r="B17" s="7" t="s">
        <v>17</v>
      </c>
      <c r="C17" s="41">
        <f>F32</f>
        <v>28504.608211180715</v>
      </c>
      <c r="E17" s="55">
        <f t="shared" si="0"/>
        <v>14</v>
      </c>
      <c r="F17" s="62">
        <f t="shared" si="1"/>
        <v>2109.8680227269797</v>
      </c>
      <c r="G17" s="63">
        <f t="shared" si="2"/>
        <v>1972.0949009759097</v>
      </c>
      <c r="H17" s="63">
        <f t="shared" si="3"/>
        <v>1972.0949009759099</v>
      </c>
      <c r="I17" s="59"/>
      <c r="J17" s="66">
        <f t="shared" si="4"/>
        <v>867.58300560669841</v>
      </c>
      <c r="K17" s="67">
        <f t="shared" si="5"/>
        <v>0.20265765245631598</v>
      </c>
    </row>
    <row r="18" spans="1:11" ht="18.600000000000001" thickBot="1" x14ac:dyDescent="0.4">
      <c r="A18" s="34"/>
      <c r="B18" s="30"/>
      <c r="E18" s="55">
        <f t="shared" si="0"/>
        <v>15</v>
      </c>
      <c r="F18" s="62">
        <f t="shared" si="1"/>
        <v>2162.2982430917455</v>
      </c>
      <c r="G18" s="63">
        <f t="shared" si="2"/>
        <v>1972.0949009759097</v>
      </c>
      <c r="H18" s="63">
        <f t="shared" si="3"/>
        <v>1972.0949009759099</v>
      </c>
      <c r="I18" s="59"/>
      <c r="J18" s="66">
        <f t="shared" si="4"/>
        <v>863.24509057866487</v>
      </c>
      <c r="K18" s="67">
        <f t="shared" si="5"/>
        <v>0.20873738203000547</v>
      </c>
    </row>
    <row r="19" spans="1:11" ht="18" x14ac:dyDescent="0.35">
      <c r="A19" s="34"/>
      <c r="B19" s="8" t="s">
        <v>18</v>
      </c>
      <c r="C19" s="9"/>
      <c r="E19" s="61">
        <f t="shared" si="0"/>
        <v>16</v>
      </c>
      <c r="F19" s="62">
        <f t="shared" si="1"/>
        <v>2216.031354432575</v>
      </c>
      <c r="G19" s="63">
        <f t="shared" si="2"/>
        <v>1972.0949009759097</v>
      </c>
      <c r="H19" s="63">
        <f t="shared" si="3"/>
        <v>1972.0949009759099</v>
      </c>
      <c r="I19" s="59"/>
      <c r="J19" s="66">
        <f t="shared" si="4"/>
        <v>858.92886512577149</v>
      </c>
      <c r="K19" s="67">
        <f t="shared" si="5"/>
        <v>0.21499950349090563</v>
      </c>
    </row>
    <row r="20" spans="1:11" ht="18" x14ac:dyDescent="0.35">
      <c r="A20" s="34" t="s">
        <v>35</v>
      </c>
      <c r="B20" s="11" t="s">
        <v>20</v>
      </c>
      <c r="C20" s="49">
        <v>25</v>
      </c>
      <c r="E20" s="55">
        <f t="shared" si="0"/>
        <v>17</v>
      </c>
      <c r="F20" s="62">
        <f t="shared" si="1"/>
        <v>2271.0997335902248</v>
      </c>
      <c r="G20" s="63">
        <f t="shared" si="2"/>
        <v>1972.0949009759097</v>
      </c>
      <c r="H20" s="63">
        <f t="shared" si="3"/>
        <v>1972.0949009759099</v>
      </c>
      <c r="I20" s="59"/>
      <c r="J20" s="66">
        <f t="shared" si="4"/>
        <v>854.63422080014266</v>
      </c>
      <c r="K20" s="67">
        <f t="shared" si="5"/>
        <v>0.22144948859563279</v>
      </c>
    </row>
    <row r="21" spans="1:11" ht="18" x14ac:dyDescent="0.35">
      <c r="A21" s="34" t="s">
        <v>36</v>
      </c>
      <c r="B21" s="29" t="s">
        <v>23</v>
      </c>
      <c r="C21" s="50" t="s">
        <v>53</v>
      </c>
      <c r="E21" s="55">
        <f t="shared" si="0"/>
        <v>18</v>
      </c>
      <c r="F21" s="62">
        <f t="shared" si="1"/>
        <v>2327.5365619699414</v>
      </c>
      <c r="G21" s="63">
        <f t="shared" si="2"/>
        <v>1972.0949009759097</v>
      </c>
      <c r="H21" s="63">
        <f t="shared" si="3"/>
        <v>1972.0949009759099</v>
      </c>
      <c r="I21" s="59"/>
      <c r="J21" s="66">
        <f t="shared" si="4"/>
        <v>850.36104969614189</v>
      </c>
      <c r="K21" s="67">
        <f t="shared" si="5"/>
        <v>0.22809297325350178</v>
      </c>
    </row>
    <row r="22" spans="1:11" ht="18" x14ac:dyDescent="0.35">
      <c r="A22" s="34" t="s">
        <v>37</v>
      </c>
      <c r="B22" s="11" t="s">
        <v>21</v>
      </c>
      <c r="C22" s="50">
        <v>25000</v>
      </c>
      <c r="E22" s="55">
        <f t="shared" si="0"/>
        <v>19</v>
      </c>
      <c r="F22" s="62">
        <f t="shared" si="1"/>
        <v>2385.3758455348943</v>
      </c>
      <c r="G22" s="63">
        <f t="shared" si="2"/>
        <v>1972.0949009759097</v>
      </c>
      <c r="H22" s="63">
        <f t="shared" si="3"/>
        <v>1972.0949009759099</v>
      </c>
      <c r="I22" s="68"/>
      <c r="J22" s="66">
        <f t="shared" si="4"/>
        <v>846.10924444766113</v>
      </c>
      <c r="K22" s="67">
        <f t="shared" si="5"/>
        <v>0.23493576245110684</v>
      </c>
    </row>
    <row r="23" spans="1:11" s="5" customFormat="1" ht="18.600000000000001" thickBot="1" x14ac:dyDescent="0.4">
      <c r="A23" s="34" t="s">
        <v>38</v>
      </c>
      <c r="B23" s="31" t="s">
        <v>14</v>
      </c>
      <c r="C23" s="51">
        <v>3.9899999999999998E-2</v>
      </c>
      <c r="E23" s="55">
        <f t="shared" si="0"/>
        <v>20</v>
      </c>
      <c r="F23" s="62">
        <f t="shared" si="1"/>
        <v>2444.6524352964366</v>
      </c>
      <c r="G23" s="63">
        <f t="shared" si="2"/>
        <v>1972.0949009759097</v>
      </c>
      <c r="H23" s="63">
        <f t="shared" si="3"/>
        <v>1972.0949009759099</v>
      </c>
      <c r="I23" s="59"/>
      <c r="J23" s="66">
        <f t="shared" si="4"/>
        <v>841.8786982254228</v>
      </c>
      <c r="K23" s="67">
        <f t="shared" si="5"/>
        <v>0.24198383532464005</v>
      </c>
    </row>
    <row r="24" spans="1:11" ht="18.600000000000001" thickBot="1" x14ac:dyDescent="0.4">
      <c r="A24" s="34" t="s">
        <v>40</v>
      </c>
      <c r="B24" s="32" t="s">
        <v>15</v>
      </c>
      <c r="C24" s="41">
        <f>((NPV(C4,F4:F28)*C4)/(1-(1+C4)^-C20)/12)</f>
        <v>164.34124174799248</v>
      </c>
      <c r="E24" s="55">
        <f t="shared" si="0"/>
        <v>21</v>
      </c>
      <c r="F24" s="62">
        <f t="shared" si="1"/>
        <v>2505.4020483135528</v>
      </c>
      <c r="G24" s="63">
        <f t="shared" si="2"/>
        <v>1972.0949009759097</v>
      </c>
      <c r="H24" s="63">
        <f t="shared" si="3"/>
        <v>1972.0949009759099</v>
      </c>
      <c r="I24" s="59"/>
      <c r="J24" s="66">
        <f t="shared" si="4"/>
        <v>837.66930473429568</v>
      </c>
      <c r="K24" s="67">
        <f t="shared" si="5"/>
        <v>0.24924335038437925</v>
      </c>
    </row>
    <row r="25" spans="1:11" ht="18.600000000000001" thickBot="1" x14ac:dyDescent="0.4">
      <c r="A25" s="34" t="s">
        <v>39</v>
      </c>
      <c r="B25" s="33" t="str">
        <f>IF(C21="Rate [%/yr]","Maximum Interest Rate [%/yr]","Maximum Loan Principal [$]")</f>
        <v>Maximum Loan Principal [$]</v>
      </c>
      <c r="C25" s="42">
        <f>IF(C21&lt;&gt;"Principal [$]",
(IF((RATE(C20*12,-C24,C22,0,0)*12)&lt;0,"&lt;0%",RATE(C20*12,-C24,C22,0,0)*12)),
PV(C23/12,C20*12,-C24,0,0))</f>
        <v>31167.450400553713</v>
      </c>
      <c r="E25" s="55">
        <f t="shared" si="0"/>
        <v>22</v>
      </c>
      <c r="F25" s="62">
        <f t="shared" si="1"/>
        <v>2567.6612892141447</v>
      </c>
      <c r="G25" s="63">
        <f t="shared" si="2"/>
        <v>1972.0949009759097</v>
      </c>
      <c r="H25" s="63">
        <f t="shared" si="3"/>
        <v>1972.0949009759099</v>
      </c>
      <c r="I25" s="59"/>
      <c r="J25" s="66">
        <f t="shared" si="4"/>
        <v>833.48095821062418</v>
      </c>
      <c r="K25" s="67">
        <f t="shared" si="5"/>
        <v>0.25672065089591062</v>
      </c>
    </row>
    <row r="26" spans="1:11" x14ac:dyDescent="0.3">
      <c r="E26" s="55">
        <f t="shared" si="0"/>
        <v>23</v>
      </c>
      <c r="F26" s="62">
        <f t="shared" si="1"/>
        <v>2631.4676722511158</v>
      </c>
      <c r="G26" s="63">
        <f t="shared" si="2"/>
        <v>1972.0949009759097</v>
      </c>
      <c r="H26" s="63">
        <f t="shared" si="3"/>
        <v>1972.0949009759099</v>
      </c>
      <c r="I26" s="59"/>
      <c r="J26" s="66">
        <f t="shared" si="4"/>
        <v>829.31355341957101</v>
      </c>
      <c r="K26" s="67">
        <f t="shared" si="5"/>
        <v>0.26442227042278793</v>
      </c>
    </row>
    <row r="27" spans="1:11" x14ac:dyDescent="0.3">
      <c r="E27" s="55">
        <f t="shared" si="0"/>
        <v>24</v>
      </c>
      <c r="F27" s="62">
        <f t="shared" si="1"/>
        <v>2696.8596439065568</v>
      </c>
      <c r="G27" s="63">
        <f t="shared" si="2"/>
        <v>1972.0949009759097</v>
      </c>
      <c r="H27" s="63">
        <f t="shared" si="3"/>
        <v>1972.0949009759099</v>
      </c>
      <c r="I27" s="59"/>
      <c r="J27" s="66">
        <f t="shared" si="4"/>
        <v>825.16698565247316</v>
      </c>
      <c r="K27" s="67">
        <f t="shared" si="5"/>
        <v>0.2723549385354716</v>
      </c>
    </row>
    <row r="28" spans="1:11" ht="15" thickBot="1" x14ac:dyDescent="0.35">
      <c r="B28" s="5"/>
      <c r="C28" s="5"/>
      <c r="E28" s="69">
        <f t="shared" si="0"/>
        <v>25</v>
      </c>
      <c r="F28" s="70">
        <f t="shared" si="1"/>
        <v>2763.8766060576345</v>
      </c>
      <c r="G28" s="71">
        <f t="shared" si="2"/>
        <v>1972.0949009759097</v>
      </c>
      <c r="H28" s="71">
        <f t="shared" si="3"/>
        <v>1972.0949009759099</v>
      </c>
      <c r="I28" s="72"/>
      <c r="J28" s="73">
        <f t="shared" si="4"/>
        <v>821.04115072421075</v>
      </c>
      <c r="K28" s="74">
        <f t="shared" si="5"/>
        <v>0.28052558669153577</v>
      </c>
    </row>
    <row r="29" spans="1:11" s="5" customFormat="1" ht="15" thickBot="1" x14ac:dyDescent="0.35">
      <c r="A29" s="36"/>
      <c r="B29"/>
      <c r="C29"/>
      <c r="E29"/>
      <c r="F29"/>
      <c r="G29"/>
      <c r="H29"/>
      <c r="I29"/>
      <c r="J29"/>
      <c r="K29"/>
    </row>
    <row r="30" spans="1:11" x14ac:dyDescent="0.3">
      <c r="F30" s="76" t="s">
        <v>22</v>
      </c>
      <c r="G30" s="77"/>
      <c r="H30" s="78"/>
    </row>
    <row r="31" spans="1:11" ht="18" x14ac:dyDescent="0.35">
      <c r="B31" s="5"/>
      <c r="C31" s="5"/>
      <c r="E31" s="34" t="s">
        <v>45</v>
      </c>
      <c r="F31" s="13" t="s">
        <v>6</v>
      </c>
      <c r="G31" s="27" t="s">
        <v>7</v>
      </c>
      <c r="H31" s="14" t="s">
        <v>8</v>
      </c>
      <c r="I31" s="5"/>
      <c r="J31" s="5"/>
      <c r="K31" s="5"/>
    </row>
    <row r="32" spans="1:11" s="5" customFormat="1" ht="15" thickBot="1" x14ac:dyDescent="0.35">
      <c r="A32" s="36"/>
      <c r="B32"/>
      <c r="C32"/>
      <c r="E32" s="1"/>
      <c r="F32" s="43">
        <f>NPV(C4,F3:F28)</f>
        <v>28504.608211180715</v>
      </c>
      <c r="G32" s="44">
        <f>NPV(C4,G3:G28)</f>
        <v>28504.608211180643</v>
      </c>
      <c r="H32" s="45">
        <f>NPV(C4,H3:H28)</f>
        <v>28504.608211180646</v>
      </c>
      <c r="I32"/>
      <c r="J32"/>
      <c r="K32"/>
    </row>
    <row r="33" spans="1:8" x14ac:dyDescent="0.3">
      <c r="F33" s="19"/>
      <c r="G33"/>
      <c r="H33" s="28"/>
    </row>
    <row r="34" spans="1:8" x14ac:dyDescent="0.3">
      <c r="G34"/>
      <c r="H34" s="21"/>
    </row>
    <row r="35" spans="1:8" x14ac:dyDescent="0.3">
      <c r="G35"/>
      <c r="H35"/>
    </row>
    <row r="36" spans="1:8" x14ac:dyDescent="0.3">
      <c r="F36" s="22"/>
      <c r="G36"/>
      <c r="H36"/>
    </row>
    <row r="37" spans="1:8" x14ac:dyDescent="0.3">
      <c r="G37"/>
      <c r="H37"/>
    </row>
    <row r="38" spans="1:8" x14ac:dyDescent="0.3">
      <c r="G38"/>
      <c r="H38" s="4"/>
    </row>
    <row r="39" spans="1:8" x14ac:dyDescent="0.3">
      <c r="C39" s="4"/>
      <c r="G39"/>
      <c r="H39"/>
    </row>
    <row r="40" spans="1:8" x14ac:dyDescent="0.3">
      <c r="C40" s="4"/>
      <c r="G40"/>
      <c r="H40"/>
    </row>
    <row r="41" spans="1:8" x14ac:dyDescent="0.3">
      <c r="B41" s="1"/>
      <c r="G41"/>
      <c r="H41"/>
    </row>
    <row r="42" spans="1:8" x14ac:dyDescent="0.3">
      <c r="G42"/>
      <c r="H42"/>
    </row>
    <row r="43" spans="1:8" x14ac:dyDescent="0.3">
      <c r="A43" s="37"/>
      <c r="D43" s="23"/>
      <c r="G43"/>
      <c r="H43"/>
    </row>
    <row r="44" spans="1:8" x14ac:dyDescent="0.3">
      <c r="B44" s="4"/>
      <c r="C44" s="4"/>
      <c r="E44" s="22"/>
      <c r="G44"/>
      <c r="H44"/>
    </row>
    <row r="45" spans="1:8" x14ac:dyDescent="0.3">
      <c r="B45" s="24"/>
      <c r="C45" s="4"/>
      <c r="G45"/>
      <c r="H45"/>
    </row>
    <row r="46" spans="1:8" x14ac:dyDescent="0.3">
      <c r="E46" s="22"/>
      <c r="G46"/>
    </row>
    <row r="47" spans="1:8" x14ac:dyDescent="0.3">
      <c r="G47"/>
    </row>
    <row r="48" spans="1:8" x14ac:dyDescent="0.3">
      <c r="C48" s="20"/>
      <c r="G48"/>
    </row>
    <row r="49" spans="3:7" x14ac:dyDescent="0.3">
      <c r="G49"/>
    </row>
    <row r="50" spans="3:7" x14ac:dyDescent="0.3">
      <c r="C50" s="4"/>
      <c r="G50"/>
    </row>
    <row r="51" spans="3:7" x14ac:dyDescent="0.3">
      <c r="E51" s="22"/>
      <c r="G51"/>
    </row>
    <row r="52" spans="3:7" x14ac:dyDescent="0.3">
      <c r="G52"/>
    </row>
    <row r="53" spans="3:7" x14ac:dyDescent="0.3">
      <c r="G53" s="22"/>
    </row>
    <row r="54" spans="3:7" x14ac:dyDescent="0.3">
      <c r="G54" s="22"/>
    </row>
    <row r="55" spans="3:7" x14ac:dyDescent="0.3">
      <c r="G55" s="22"/>
    </row>
    <row r="56" spans="3:7" x14ac:dyDescent="0.3">
      <c r="G56" s="22"/>
    </row>
  </sheetData>
  <sheetProtection algorithmName="SHA-512" hashValue="WtEopkN3rLe8nCH1FNQWMJweCeu/v+YdePRgBQvm48J3SpdWQppzL2U9nq3r50u7RlPdDb/PcDypQ7JmYxqjEw==" saltValue="zW7K3MxOIXGF6RjRgGVpeg==" spinCount="100000" sheet="1" objects="1" scenarios="1"/>
  <protectedRanges>
    <protectedRange sqref="C8 C11:C12 C20:C23" name="Inputs"/>
  </protectedRanges>
  <mergeCells count="1">
    <mergeCell ref="F30:H30"/>
  </mergeCells>
  <conditionalFormatting sqref="B22:C22">
    <cfRule type="expression" dxfId="4" priority="6">
      <formula>$C$21="Principal [$]"</formula>
    </cfRule>
  </conditionalFormatting>
  <conditionalFormatting sqref="B23:C23">
    <cfRule type="expression" dxfId="3" priority="5">
      <formula>$C$21&lt;&gt;"Principal [$]"</formula>
    </cfRule>
  </conditionalFormatting>
  <conditionalFormatting sqref="C12">
    <cfRule type="cellIs" dxfId="2" priority="11" operator="lessThan">
      <formula>0</formula>
    </cfRule>
  </conditionalFormatting>
  <conditionalFormatting sqref="C25">
    <cfRule type="expression" dxfId="1" priority="7">
      <formula>$C$21&lt;&gt;"Rate [%/yr]"</formula>
    </cfRule>
    <cfRule type="expression" dxfId="0" priority="9">
      <formula>$C$21="Rate [%/yr]"</formula>
    </cfRule>
  </conditionalFormatting>
  <dataValidations count="1">
    <dataValidation type="list" allowBlank="1" showInputMessage="1" showErrorMessage="1" sqref="C21" xr:uid="{192B64ED-11B0-407F-8BAA-B0164BA1D613}">
      <formula1>"Rate [%/yr],Principal [$]"</formula1>
    </dataValidation>
  </dataValidations>
  <pageMargins left="0.25" right="0.25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48AAE66E00A4896E3F9FCB2FC0691" ma:contentTypeVersion="1" ma:contentTypeDescription="Create a new document." ma:contentTypeScope="" ma:versionID="b3551181b9de853868a9ed369d3638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2F2F0-11A0-4F73-8AF4-861597E4E263}">
  <ds:schemaRefs>
    <ds:schemaRef ds:uri="http://purl.org/dc/elements/1.1/"/>
    <ds:schemaRef ds:uri="e880ae3c-bc7a-4d8f-912c-de531598b17a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089fd1a-ae38-47cb-b27b-d837eb2f9e3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727EBC-3B21-45C8-9EF6-A5D6B08A2EA8}"/>
</file>

<file path=customXml/itemProps3.xml><?xml version="1.0" encoding="utf-8"?>
<ds:datastoreItem xmlns:ds="http://schemas.openxmlformats.org/officeDocument/2006/customXml" ds:itemID="{4CA6BF31-7FAE-4484-BEF3-91DDD97EE4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Staunton, Jonathon</dc:creator>
  <cp:keywords/>
  <dc:description/>
  <cp:lastModifiedBy>Evie Schwartz</cp:lastModifiedBy>
  <cp:revision/>
  <cp:lastPrinted>2025-02-10T20:06:54Z</cp:lastPrinted>
  <dcterms:created xsi:type="dcterms:W3CDTF">2015-06-05T18:17:20Z</dcterms:created>
  <dcterms:modified xsi:type="dcterms:W3CDTF">2025-02-21T18:14:50Z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0x01010042148AAE66E00A4896E3F9FCB2FC0691</vt:lpwstr>
  </property>
  <property fmtid="{D5CDD505-2E9C-101B-9397-08002B2CF9AE}" pid="3" name="MediaServiceImageTags">
    <vt:lpwstr/>
  </property>
</Properties>
</file>