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S:\Shared Files\Program Team\RE and Transpo\Solar\CommSolar Grant Prog\FY23\Application\"/>
    </mc:Choice>
  </mc:AlternateContent>
  <xr:revisionPtr revIDLastSave="0" documentId="13_ncr:1_{8FF976CC-34C2-469D-80E5-89596DBC64F3}" xr6:coauthVersionLast="47" xr6:coauthVersionMax="47" xr10:uidLastSave="{00000000-0000-0000-0000-000000000000}"/>
  <bookViews>
    <workbookView xWindow="-120" yWindow="-120" windowWidth="29040" windowHeight="15840" tabRatio="687" xr2:uid="{00000000-000D-0000-FFFF-FFFF00000000}"/>
  </bookViews>
  <sheets>
    <sheet name="Application" sheetId="5" r:id="rId1"/>
    <sheet name="Instructions " sheetId="3" r:id="rId2"/>
    <sheet name="Proposed Incentive Calculation" sheetId="1" r:id="rId3"/>
    <sheet name="PE Rate Calc Example" sheetId="7" r:id="rId4"/>
    <sheet name="BGE Rate Calc Example" sheetId="9" r:id="rId5"/>
    <sheet name="Pepco Rate Calc Example" sheetId="8" r:id="rId6"/>
    <sheet name="DPL Rate Calc Example"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1" l="1"/>
  <c r="D4" i="10"/>
  <c r="D5" i="10"/>
  <c r="D6" i="10"/>
  <c r="D7" i="10"/>
  <c r="D8" i="10"/>
  <c r="D9" i="10"/>
  <c r="D10" i="10"/>
  <c r="D11" i="10"/>
  <c r="D12" i="10"/>
  <c r="D13" i="10"/>
  <c r="D14" i="10"/>
  <c r="D3" i="10"/>
  <c r="R14" i="10"/>
  <c r="S14" i="10" s="1"/>
  <c r="R13" i="10"/>
  <c r="S13" i="10" s="1"/>
  <c r="R12" i="10"/>
  <c r="S12" i="10" s="1"/>
  <c r="R11" i="10"/>
  <c r="R10" i="10"/>
  <c r="R9" i="10"/>
  <c r="S9" i="10" s="1"/>
  <c r="R8" i="10"/>
  <c r="S8" i="10" s="1"/>
  <c r="R7" i="10"/>
  <c r="S7" i="10" s="1"/>
  <c r="R6" i="10"/>
  <c r="S6" i="10" s="1"/>
  <c r="R5" i="10"/>
  <c r="R4" i="10"/>
  <c r="R3" i="10"/>
  <c r="S3" i="10" s="1"/>
  <c r="S4" i="10" l="1"/>
  <c r="S17" i="10" s="1"/>
  <c r="S10" i="10"/>
  <c r="S5" i="10"/>
  <c r="S11" i="10"/>
  <c r="D4" i="9" l="1"/>
  <c r="D5" i="9"/>
  <c r="D6" i="9"/>
  <c r="D7" i="9"/>
  <c r="D8" i="9"/>
  <c r="D9" i="9"/>
  <c r="D10" i="9"/>
  <c r="D11" i="9"/>
  <c r="D12" i="9"/>
  <c r="D13" i="9"/>
  <c r="D14" i="9"/>
  <c r="D3" i="9"/>
  <c r="P14" i="9"/>
  <c r="Q14" i="9" s="1"/>
  <c r="P13" i="9"/>
  <c r="P12" i="9"/>
  <c r="Q12" i="9" s="1"/>
  <c r="P11" i="9"/>
  <c r="Q11" i="9" s="1"/>
  <c r="P10" i="9"/>
  <c r="P9" i="9"/>
  <c r="Q9" i="9" s="1"/>
  <c r="P8" i="9"/>
  <c r="Q8" i="9" s="1"/>
  <c r="P7" i="9"/>
  <c r="P6" i="9"/>
  <c r="Q6" i="9" s="1"/>
  <c r="P5" i="9"/>
  <c r="Q5" i="9" s="1"/>
  <c r="P4" i="9"/>
  <c r="P3" i="9"/>
  <c r="Q7" i="9" l="1"/>
  <c r="Q13" i="9"/>
  <c r="Q4" i="9"/>
  <c r="Q10" i="9"/>
  <c r="Q3" i="9"/>
  <c r="Q17" i="9" s="1"/>
  <c r="D4" i="8" l="1"/>
  <c r="S4" i="8" s="1"/>
  <c r="D5" i="8"/>
  <c r="D6" i="8"/>
  <c r="D7" i="8"/>
  <c r="D8" i="8"/>
  <c r="S8" i="8" s="1"/>
  <c r="D9" i="8"/>
  <c r="D10" i="8"/>
  <c r="D11" i="8"/>
  <c r="D12" i="8"/>
  <c r="D13" i="8"/>
  <c r="D14" i="8"/>
  <c r="D3" i="8"/>
  <c r="S14" i="8"/>
  <c r="R14" i="8"/>
  <c r="R13" i="8"/>
  <c r="S12" i="8"/>
  <c r="R12" i="8"/>
  <c r="R11" i="8"/>
  <c r="S10" i="8"/>
  <c r="R10" i="8"/>
  <c r="R9" i="8"/>
  <c r="R8" i="8"/>
  <c r="R7" i="8"/>
  <c r="S7" i="8" s="1"/>
  <c r="S6" i="8"/>
  <c r="R6" i="8"/>
  <c r="R5" i="8"/>
  <c r="R4" i="8"/>
  <c r="R3" i="8"/>
  <c r="S11" i="8" l="1"/>
  <c r="S5" i="8"/>
  <c r="S9" i="8"/>
  <c r="S13" i="8"/>
  <c r="S3" i="8"/>
  <c r="S17" i="8" l="1"/>
  <c r="D4" i="7" l="1"/>
  <c r="D5" i="7"/>
  <c r="D6" i="7"/>
  <c r="D7" i="7"/>
  <c r="D8" i="7"/>
  <c r="D9" i="7"/>
  <c r="D10" i="7"/>
  <c r="D11" i="7"/>
  <c r="D12" i="7"/>
  <c r="D13" i="7"/>
  <c r="D14" i="7"/>
  <c r="D3" i="7"/>
  <c r="R14" i="7"/>
  <c r="S14" i="7" s="1"/>
  <c r="R13" i="7"/>
  <c r="S13" i="7" s="1"/>
  <c r="R12" i="7"/>
  <c r="S12" i="7" s="1"/>
  <c r="R11" i="7"/>
  <c r="R10" i="7"/>
  <c r="S10" i="7" s="1"/>
  <c r="R9" i="7"/>
  <c r="S9" i="7" s="1"/>
  <c r="R8" i="7"/>
  <c r="S8" i="7" s="1"/>
  <c r="R7" i="7"/>
  <c r="R6" i="7"/>
  <c r="S6" i="7" s="1"/>
  <c r="S5" i="7"/>
  <c r="R5" i="7"/>
  <c r="R4" i="7"/>
  <c r="S4" i="7" s="1"/>
  <c r="R3" i="7"/>
  <c r="S3" i="7" s="1"/>
  <c r="S7" i="7" l="1"/>
  <c r="S11" i="7"/>
  <c r="S17" i="7"/>
  <c r="A56" i="1" l="1"/>
  <c r="E69" i="1" l="1"/>
  <c r="F69" i="1" s="1"/>
  <c r="G69" i="1" s="1"/>
  <c r="H69" i="1" s="1"/>
  <c r="I69" i="1" s="1"/>
  <c r="J69" i="1" s="1"/>
  <c r="K69" i="1" s="1"/>
  <c r="L69" i="1" s="1"/>
  <c r="M69" i="1" s="1"/>
  <c r="N69" i="1" s="1"/>
  <c r="O69" i="1" s="1"/>
  <c r="P69" i="1" s="1"/>
  <c r="Q69" i="1" s="1"/>
  <c r="R69" i="1" s="1"/>
  <c r="S69" i="1" s="1"/>
  <c r="T69" i="1" s="1"/>
  <c r="U69" i="1" s="1"/>
  <c r="V69" i="1" s="1"/>
  <c r="B5" i="1"/>
  <c r="C70" i="1" l="1"/>
  <c r="C9" i="1" l="1"/>
  <c r="C33" i="1" l="1"/>
  <c r="C34" i="1" s="1"/>
  <c r="C36" i="1" s="1"/>
  <c r="C48" i="1"/>
  <c r="C52" i="1"/>
  <c r="A34" i="1"/>
  <c r="A47" i="1"/>
  <c r="D46" i="1"/>
  <c r="E46" i="1" s="1"/>
  <c r="F46" i="1" s="1"/>
  <c r="G46" i="1" s="1"/>
  <c r="H46" i="1" s="1"/>
  <c r="I46" i="1" s="1"/>
  <c r="J46" i="1" s="1"/>
  <c r="K46" i="1" s="1"/>
  <c r="L46" i="1" s="1"/>
  <c r="M46" i="1" s="1"/>
  <c r="N46" i="1" s="1"/>
  <c r="O46" i="1" s="1"/>
  <c r="P46" i="1" s="1"/>
  <c r="Q46" i="1" s="1"/>
  <c r="R46" i="1" s="1"/>
  <c r="S46" i="1" s="1"/>
  <c r="T46" i="1" s="1"/>
  <c r="U46" i="1" s="1"/>
  <c r="V46" i="1" s="1"/>
  <c r="C37" i="1"/>
  <c r="A37" i="1" s="1"/>
  <c r="A52" i="1" s="1"/>
  <c r="A33" i="1"/>
  <c r="D32" i="1"/>
  <c r="E32" i="1" s="1"/>
  <c r="F32" i="1" s="1"/>
  <c r="G32" i="1" s="1"/>
  <c r="H32" i="1" s="1"/>
  <c r="I32" i="1" s="1"/>
  <c r="A23" i="1"/>
  <c r="E48" i="1" l="1"/>
  <c r="D48" i="1"/>
  <c r="J32" i="1"/>
  <c r="K32" i="1" s="1"/>
  <c r="L32" i="1" s="1"/>
  <c r="M32" i="1" s="1"/>
  <c r="M33" i="1" s="1"/>
  <c r="I48" i="1"/>
  <c r="I47" i="1"/>
  <c r="G47" i="1"/>
  <c r="E47" i="1"/>
  <c r="E33" i="1"/>
  <c r="G33" i="1"/>
  <c r="I33" i="1"/>
  <c r="D34" i="1"/>
  <c r="F34" i="1"/>
  <c r="H34" i="1"/>
  <c r="D47" i="1"/>
  <c r="H47" i="1"/>
  <c r="D33" i="1"/>
  <c r="F33" i="1"/>
  <c r="H33" i="1"/>
  <c r="E34" i="1"/>
  <c r="G34" i="1"/>
  <c r="I34" i="1"/>
  <c r="F47" i="1"/>
  <c r="C51" i="1"/>
  <c r="H48" i="1"/>
  <c r="F48" i="1"/>
  <c r="G48" i="1"/>
  <c r="K47" i="1" l="1"/>
  <c r="L48" i="1"/>
  <c r="J47" i="1"/>
  <c r="M34" i="1"/>
  <c r="M36" i="1" s="1"/>
  <c r="L33" i="1"/>
  <c r="H51" i="1"/>
  <c r="K48" i="1"/>
  <c r="K51" i="1" s="1"/>
  <c r="D51" i="1"/>
  <c r="I36" i="1"/>
  <c r="E36" i="1"/>
  <c r="J34" i="1"/>
  <c r="F36" i="1"/>
  <c r="F51" i="1"/>
  <c r="G36" i="1"/>
  <c r="E51" i="1"/>
  <c r="N32" i="1"/>
  <c r="M48" i="1"/>
  <c r="G51" i="1"/>
  <c r="J48" i="1"/>
  <c r="K34" i="1"/>
  <c r="J33" i="1"/>
  <c r="L47" i="1"/>
  <c r="L34" i="1"/>
  <c r="H36" i="1"/>
  <c r="D36" i="1"/>
  <c r="K33" i="1"/>
  <c r="M47" i="1"/>
  <c r="I51" i="1"/>
  <c r="L51" i="1" l="1"/>
  <c r="L36" i="1"/>
  <c r="J51" i="1"/>
  <c r="J36" i="1"/>
  <c r="M51" i="1"/>
  <c r="K36" i="1"/>
  <c r="O32" i="1"/>
  <c r="N33" i="1"/>
  <c r="N47" i="1"/>
  <c r="N48" i="1"/>
  <c r="N34" i="1"/>
  <c r="N36" i="1" l="1"/>
  <c r="P32" i="1"/>
  <c r="O33" i="1"/>
  <c r="O34" i="1"/>
  <c r="O48" i="1"/>
  <c r="O47" i="1"/>
  <c r="N51" i="1"/>
  <c r="O51" i="1" l="1"/>
  <c r="O36" i="1"/>
  <c r="Q32" i="1"/>
  <c r="P34" i="1"/>
  <c r="P47" i="1"/>
  <c r="P33" i="1"/>
  <c r="P48" i="1"/>
  <c r="P51" i="1" l="1"/>
  <c r="R32" i="1"/>
  <c r="Q48" i="1"/>
  <c r="Q47" i="1"/>
  <c r="Q33" i="1"/>
  <c r="Q34" i="1"/>
  <c r="P36" i="1"/>
  <c r="Q51" i="1" l="1"/>
  <c r="Q36" i="1"/>
  <c r="S32" i="1"/>
  <c r="R33" i="1"/>
  <c r="R48" i="1"/>
  <c r="R34" i="1"/>
  <c r="R47" i="1"/>
  <c r="R36" i="1" l="1"/>
  <c r="R51" i="1"/>
  <c r="T32" i="1"/>
  <c r="S33" i="1"/>
  <c r="S34" i="1"/>
  <c r="S47" i="1"/>
  <c r="S48" i="1"/>
  <c r="S51" i="1" l="1"/>
  <c r="S36" i="1"/>
  <c r="U32" i="1"/>
  <c r="T34" i="1"/>
  <c r="T47" i="1"/>
  <c r="T33" i="1"/>
  <c r="T48" i="1"/>
  <c r="V32" i="1" l="1"/>
  <c r="U48" i="1"/>
  <c r="U34" i="1"/>
  <c r="U47" i="1"/>
  <c r="U33" i="1"/>
  <c r="T51" i="1"/>
  <c r="T36" i="1"/>
  <c r="U51" i="1" l="1"/>
  <c r="U36" i="1"/>
  <c r="V33" i="1"/>
  <c r="V47" i="1"/>
  <c r="V48" i="1"/>
  <c r="V34" i="1"/>
  <c r="V36" i="1" l="1"/>
  <c r="A38" i="1"/>
  <c r="V51" i="1"/>
  <c r="A53" i="1" s="1"/>
  <c r="A36" i="1"/>
  <c r="A54" i="1" l="1"/>
  <c r="A51" i="1"/>
  <c r="B16" i="1" l="1"/>
  <c r="B19" i="1"/>
  <c r="B17" i="1" l="1"/>
  <c r="B18" i="1" s="1"/>
  <c r="C16" i="1"/>
  <c r="C17" i="1"/>
  <c r="C1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tc={EA89715E-853C-4AF9-8D3D-C0E8B6A8988B}</author>
    <author>Windows User</author>
  </authors>
  <commentList>
    <comment ref="C47" authorId="0" shapeId="0" xr:uid="{EA89715E-853C-4AF9-8D3D-C0E8B6A8988B}">
      <text>
        <t>[Threaded comment]
Your version of Excel allows you to read this threaded comment; however, any edits to it will get removed if the file is opened in a newer version of Excel. Learn more: https://go.microsoft.com/fwlink/?linkid=870924
Comment:
    Equal to the average Community Solar Energy Generation Credit Rate for the last 12 months for the utility service territory.  If there are different county energy tax rates, use the larger of the rates.  List all of the County energy tax rates in the cover letter.</t>
      </text>
    </comment>
    <comment ref="A48" authorId="1" shapeId="0" xr:uid="{00000000-0006-0000-0200-000001000000}">
      <text>
        <r>
          <rPr>
            <sz val="9"/>
            <color indexed="81"/>
            <rFont val="Tahoma"/>
            <family val="2"/>
          </rPr>
          <t>Insert annual escalator rate here.  If the intent is to maintain the rate at a fixed percentage (cell A50)below the CSEGS  Credit Rate (cell C47), then insert 2% in cell A48 (which should match cell A47)</t>
        </r>
      </text>
    </comment>
  </commentList>
</comments>
</file>

<file path=xl/sharedStrings.xml><?xml version="1.0" encoding="utf-8"?>
<sst xmlns="http://schemas.openxmlformats.org/spreadsheetml/2006/main" count="253" uniqueCount="169">
  <si>
    <t>Size of LMI portion of the array (nearest kW)</t>
  </si>
  <si>
    <t>Discount Rate (Subscription Incentive)</t>
  </si>
  <si>
    <t>Constants:</t>
  </si>
  <si>
    <t>cents/kWh</t>
  </si>
  <si>
    <t>Base Year</t>
  </si>
  <si>
    <t>Utility rate</t>
  </si>
  <si>
    <t>PPA rate</t>
  </si>
  <si>
    <t>TEST CASE</t>
  </si>
  <si>
    <t>Discount Rate</t>
  </si>
  <si>
    <t>Total Savings (cents/kWh)</t>
  </si>
  <si>
    <t>BASELINE CASE</t>
  </si>
  <si>
    <t>Yearly rate increase</t>
  </si>
  <si>
    <t>Instructions:</t>
  </si>
  <si>
    <t>Test Case ($/kW for LMI)</t>
  </si>
  <si>
    <t>The baseline case assumes:</t>
  </si>
  <si>
    <t xml:space="preserve">     A 20 year PPA term</t>
  </si>
  <si>
    <t xml:space="preserve">     The actual cost of electricity increases 2.00%/year</t>
  </si>
  <si>
    <t xml:space="preserve">     The PPA cost escalator is 2.90%/year</t>
  </si>
  <si>
    <t xml:space="preserve">     The discount rate is 10.00%</t>
  </si>
  <si>
    <t>Subscription incentive</t>
  </si>
  <si>
    <t xml:space="preserve">The subscription incentive calculates the Net Present Value of the savings stream over a 20 year period and multiplies it by the size of the solar array dedicated to the LMI community.  </t>
  </si>
  <si>
    <t>Subscriber Organization Description</t>
  </si>
  <si>
    <t>Organization Subscriber ID No:</t>
  </si>
  <si>
    <t>CSEGS Project Description:</t>
  </si>
  <si>
    <t>Project Name:</t>
  </si>
  <si>
    <t>Project Number:</t>
  </si>
  <si>
    <t>Project's Budgeted Annual Energy Output</t>
  </si>
  <si>
    <t>Other Terms &amp; Conditions</t>
  </si>
  <si>
    <t>Acknowledgements:</t>
  </si>
  <si>
    <t>Date scheduled to produce creditable energy</t>
  </si>
  <si>
    <t>Low-to-Moderate Income Subscriber Verification</t>
  </si>
  <si>
    <t>Submit this spreadsheet with a signed cover letter to apply</t>
  </si>
  <si>
    <t>Submitted by (Name)</t>
  </si>
  <si>
    <t xml:space="preserve">  Date</t>
  </si>
  <si>
    <t>Total Array Capacity</t>
  </si>
  <si>
    <t>Minimum Required LMI Array Size</t>
  </si>
  <si>
    <t>kW-dc</t>
  </si>
  <si>
    <t>Assumed rate of utility wholesale rate increase</t>
  </si>
  <si>
    <t>Baseline rate of PPA rate increase</t>
  </si>
  <si>
    <t>Year Zero Rate Reduction below utility retail rate</t>
  </si>
  <si>
    <t>Maximum number of subscribers</t>
  </si>
  <si>
    <t>Cost to validate a subscriber</t>
  </si>
  <si>
    <t>per case review</t>
  </si>
  <si>
    <t>Validation Incentive</t>
  </si>
  <si>
    <t>The total incentive can be found in cell B18.</t>
  </si>
  <si>
    <t>kilowatts (kW-dc)</t>
  </si>
  <si>
    <t>kilowatt-hours (kWh-ac)</t>
  </si>
  <si>
    <t>kWh/year for the array for the LMI subscribers</t>
  </si>
  <si>
    <t>Baseline - 15% discount</t>
  </si>
  <si>
    <t>Required Documents</t>
  </si>
  <si>
    <t>Subscriber Organization Certificate of Good Standing from SDAT</t>
  </si>
  <si>
    <t>Subscriber Organization / Applicant IRS Form W-9</t>
  </si>
  <si>
    <t>Solar Installer Certificate of Good Standing from SDAT</t>
  </si>
  <si>
    <t>Site plan, showing array location on the site</t>
  </si>
  <si>
    <t>Google Earth (or equivalent) map showing the location of the site with respect to the surrounding community</t>
  </si>
  <si>
    <t>PVWATTS, PVSYST (or equivalent) document showing expected energy production</t>
  </si>
  <si>
    <t>Proposed timeline</t>
  </si>
  <si>
    <t>Address of the physical array.  If the location has no street number, provide a description of surrounding streets and towns, or provide lat/long.</t>
  </si>
  <si>
    <t>Project Nickname:</t>
  </si>
  <si>
    <t>Project's Utility Service Area</t>
  </si>
  <si>
    <t xml:space="preserve">Community Solar category </t>
  </si>
  <si>
    <t>LMI or SBO</t>
  </si>
  <si>
    <t>County</t>
  </si>
  <si>
    <t>Community Solar Category</t>
  </si>
  <si>
    <t>LMI</t>
  </si>
  <si>
    <t>SBO</t>
  </si>
  <si>
    <t>Assumed kWh-ac/kW-dc</t>
  </si>
  <si>
    <t>LMI-PPA Incentive Calculator - TEST CASE</t>
  </si>
  <si>
    <t>Documentation showing calculation of cost of electricity to a resident for the utility service area.</t>
  </si>
  <si>
    <t>*** Items highlighted in yellow are variables.  Change these numbers to fit the project ***</t>
  </si>
  <si>
    <t xml:space="preserve">The Completion Package should be submitted electronically to MEA via email to: solar.mea@maryland.gov.  </t>
  </si>
  <si>
    <t>If specifically authorized by MEA, an applicant should mail the supporting documents to:</t>
  </si>
  <si>
    <t>Application Package Submission</t>
  </si>
  <si>
    <t>POC Title</t>
  </si>
  <si>
    <t>POC phone number (office)</t>
  </si>
  <si>
    <t>POC phone number (mobile)</t>
  </si>
  <si>
    <t>POC e-mail address</t>
  </si>
  <si>
    <t>Cost Escalation rate</t>
  </si>
  <si>
    <t xml:space="preserve">    The first year discount to the cost of electricity is 15% below the CSEG Credit Rate</t>
  </si>
  <si>
    <t>Total incentive to Subscriber Organization (limited to $500,000)</t>
  </si>
  <si>
    <t>Total benefit to Subscribers</t>
  </si>
  <si>
    <t>$/kWh</t>
  </si>
  <si>
    <t>Effective reduction in cost of electricity</t>
  </si>
  <si>
    <t>Maryland Community LMI-PPA Grant Application FY-23</t>
  </si>
  <si>
    <t>SO Name as it should be on the grant</t>
  </si>
  <si>
    <t>Project Solar Array Size:</t>
  </si>
  <si>
    <t>LMI Percentage (%) guaranteed</t>
  </si>
  <si>
    <t xml:space="preserve">LMI Array Size (set aside) </t>
  </si>
  <si>
    <t>The calculation compares the proposed incentive rate structure and PPA term (Rows 47-54) against a specified Baseline Case (Rows 30-38) .</t>
  </si>
  <si>
    <t>The applicant is requested to input the following information for the Proposed Incentive Calculation:</t>
  </si>
  <si>
    <t>YES</t>
  </si>
  <si>
    <t>NO</t>
  </si>
  <si>
    <t xml:space="preserve">Inputs are highlighted in yellow.     </t>
  </si>
  <si>
    <t>Fill out all cells in yellow:  B3, B4, B9, A22, C47, A48, A50, and B56</t>
  </si>
  <si>
    <t>Alternatively, if you wish to propose a custom rate structure, write the actual rates (cents per kWh) into cells C48 to V48 and leave cells A48 and A50 blank.</t>
  </si>
  <si>
    <t>PVSYS      E Grid   Generation</t>
  </si>
  <si>
    <t>Gen %</t>
  </si>
  <si>
    <t xml:space="preserve">6 Supply Capacity, Energy and Ancilliary Rate </t>
  </si>
  <si>
    <t>6 Transmission Rate</t>
  </si>
  <si>
    <t>Energy Cost Adjustment Surcharge (ECA)</t>
  </si>
  <si>
    <t>6 Distribution Rate</t>
  </si>
  <si>
    <t>5-8 Administrative Credit (ACA)</t>
  </si>
  <si>
    <t>5-4 Environmental Surcharge</t>
  </si>
  <si>
    <t>5-5 Empower Md. Charge</t>
  </si>
  <si>
    <t>5-2 Franchise Tax</t>
  </si>
  <si>
    <t>5-10 Electric Distribution Investment Surcharge</t>
  </si>
  <si>
    <t>5-1 COGEN PURPA Surccharge</t>
  </si>
  <si>
    <t>County Energy Taxes</t>
  </si>
  <si>
    <t>Total</t>
  </si>
  <si>
    <t>Weighted Total</t>
  </si>
  <si>
    <t>January</t>
  </si>
  <si>
    <t>February</t>
  </si>
  <si>
    <t>March</t>
  </si>
  <si>
    <t>April</t>
  </si>
  <si>
    <t>May</t>
  </si>
  <si>
    <t>June</t>
  </si>
  <si>
    <t>July</t>
  </si>
  <si>
    <t>August</t>
  </si>
  <si>
    <t>September</t>
  </si>
  <si>
    <t>October</t>
  </si>
  <si>
    <t>November</t>
  </si>
  <si>
    <t>December</t>
  </si>
  <si>
    <t>Potomac Edison</t>
  </si>
  <si>
    <t>PVWatts  140T  20 tilt</t>
  </si>
  <si>
    <t xml:space="preserve">Generation </t>
  </si>
  <si>
    <t>Admin Charge</t>
  </si>
  <si>
    <t>PCA</t>
  </si>
  <si>
    <t>Transmission Rate</t>
  </si>
  <si>
    <t>Distribution Rate</t>
  </si>
  <si>
    <t>BSA</t>
  </si>
  <si>
    <t>Franchise Tax</t>
  </si>
  <si>
    <t>Environmental Surcharge</t>
  </si>
  <si>
    <t>Empower Md. Charge</t>
  </si>
  <si>
    <t>Pepco</t>
  </si>
  <si>
    <t>PG County</t>
  </si>
  <si>
    <t>PVWatts</t>
  </si>
  <si>
    <t>Supply</t>
  </si>
  <si>
    <t>BGE</t>
  </si>
  <si>
    <t>Delmarva</t>
  </si>
  <si>
    <t>The validation incentive calculates $30 times the assumed number of LMI subscribers (350).  You must show receipts for payment to a 3rd party for this income validation work to receive the Validation Incentive Payment</t>
  </si>
  <si>
    <t>For Cell C47</t>
  </si>
  <si>
    <t>Congressional District of Array</t>
  </si>
  <si>
    <t>MD Legislative District of Array</t>
  </si>
  <si>
    <t>Congressional District of Subscriber Organization</t>
  </si>
  <si>
    <t>MD Legislative District of Subscriber Organization</t>
  </si>
  <si>
    <t>Subscription Organization (SO) Name:</t>
  </si>
  <si>
    <t>SO Point of Contact (POC) Name</t>
  </si>
  <si>
    <t>SO Person authorized to sign grant - name</t>
  </si>
  <si>
    <t>SO Person who will sign the grant agreement - title</t>
  </si>
  <si>
    <t xml:space="preserve">SO Person who will sign grant agreement - email </t>
  </si>
  <si>
    <t>Describe the organization and method used to certify Low Income subscriber status</t>
  </si>
  <si>
    <t>Describe the oganization and method used to certify Moderate Income subscriber status</t>
  </si>
  <si>
    <t>Evidence of site control for 20 years after array is built</t>
  </si>
  <si>
    <t>Effective Date:  July 1, 2022</t>
  </si>
  <si>
    <t>Version 1.0</t>
  </si>
  <si>
    <t xml:space="preserve">     The community solar array achieves a production rate (kWh-ac/kW -dc installed) as specified in cell A22 (applicant selected).</t>
  </si>
  <si>
    <t>Cell C47 is the average Community Solar Energy Generation Credit Rate over the last 12 months.  If less than 12 months of data is available, use all available months.  (Leave the County energy tax rate at zero(0))  Provide links or documentation to support these numbers.</t>
  </si>
  <si>
    <t>NPV Savings (cents/kWh per kW installed over 20 years)</t>
  </si>
  <si>
    <t>NPV Savings  (cents/kWh per kW installed over 20 years)</t>
  </si>
  <si>
    <t>change from baseline Dollars/kWh per kW installed over 20 years</t>
  </si>
  <si>
    <t xml:space="preserve">SO  Address </t>
  </si>
  <si>
    <t>MEA is encouraging the use of electronic applications to streamline processing and reduce environmental impacts. If you cannot apply electronically, please contact MEA no later than seven (7) days prior to the application deadline to identify an alternative method to submit an application</t>
  </si>
  <si>
    <t>Maryland Energy Administration
Attn: Community Solar LMI-PPA Program
1800 Washington Blvd.  Suite 755
Baltimore, MD 21230</t>
  </si>
  <si>
    <t xml:space="preserve">The offered PPA escalation rate should be input into cell A48.  If the intention is to remain a fixed percentage (Cell A50) below the utility's CSEG Credit Rate (Cell C47), then set the Cost Escalation Rate (Cell A48) to 2% (which matches the Utility Escalation Rate - Cell A47) and state your intention to remain a fixed percentage below the CSEG Credit Rate in the Cover Letter and Cell B56.  </t>
  </si>
  <si>
    <t>($)</t>
  </si>
  <si>
    <t>Estimated Total Community Solar System Cost</t>
  </si>
  <si>
    <t>Cover letter providing guaranties of savings over 20 years (with escalator or constant percent savings)</t>
  </si>
  <si>
    <r>
      <t xml:space="preserve">Examples of utility rate calculations are provided in the orange spreadsheets.  Column C can come from PV SYS or PVWatts, or other reputable solar modeling program.  The absolute number are not important, only the ability to determine the amount of energy produced in each month (Column D).  Use the last 12 months of CSEGS Credit Rate values as provided by the utility.  DO NOT INCLUDE COUNTY TAXES IN THIS CALCULATION.  </t>
    </r>
    <r>
      <rPr>
        <b/>
        <sz val="11"/>
        <color theme="1"/>
        <rFont val="Calibri"/>
        <family val="2"/>
        <scheme val="minor"/>
      </rPr>
      <t>Submit YOUR rate calculation as a worksheet as part of this Application Workbook.</t>
    </r>
    <r>
      <rPr>
        <sz val="11"/>
        <color theme="1"/>
        <rFont val="Calibri"/>
        <family val="2"/>
        <scheme val="minor"/>
      </rPr>
      <t xml:space="preserve"> Remove the worksheets from the other utilities that do not apply to this application.</t>
    </r>
  </si>
  <si>
    <t>Fill in yellow highlighted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</si>
</sst>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3" formatCode="_(* #,##0.00_);_(* \(#,##0.00\);_(* &quot;-&quot;??_);_(@_)"/>
    <numFmt numFmtId="164" formatCode="0.0000"/>
    <numFmt numFmtId="165" formatCode="#,##0.000_);[Red]\(#,##0.000\)"/>
    <numFmt numFmtId="166" formatCode="#,##0.0000_);[Red]\(#,##0.0000\)"/>
    <numFmt numFmtId="167" formatCode="_(* #,##0_);_(* \(#,##0\);_(* &quot;-&quot;??_);_(@_)"/>
    <numFmt numFmtId="168" formatCode="&quot;$&quot;#,##0.00"/>
    <numFmt numFmtId="169" formatCode="&quot;$&quot;#,##0.0000_);[Red]\(&quot;$&quot;#,##0.0000\)"/>
    <numFmt numFmtId="170" formatCode="0.000000"/>
    <numFmt numFmtId="171" formatCode="#,##0.0_);[Red]\(#,##0.0\)"/>
  </numFmts>
  <fonts count="1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sz val="14"/>
      <color theme="1"/>
      <name val="Calibri"/>
      <family val="2"/>
      <scheme val="minor"/>
    </font>
    <font>
      <sz val="9"/>
      <color indexed="81"/>
      <name val="Tahoma"/>
      <family val="2"/>
    </font>
    <font>
      <b/>
      <sz val="14"/>
      <color rgb="FF0070C0"/>
      <name val="Calibri"/>
      <family val="2"/>
      <scheme val="minor"/>
    </font>
    <font>
      <sz val="12"/>
      <color theme="1"/>
      <name val="Calibri"/>
      <family val="2"/>
      <scheme val="minor"/>
    </font>
    <font>
      <sz val="11"/>
      <name val="Calibri"/>
      <family val="2"/>
      <scheme val="minor"/>
    </font>
    <font>
      <sz val="14"/>
      <name val="Calibri"/>
      <family val="2"/>
      <scheme val="minor"/>
    </font>
    <font>
      <b/>
      <sz val="12"/>
      <color rgb="FFFF0000"/>
      <name val="Calibri"/>
      <family val="2"/>
      <scheme val="minor"/>
    </font>
    <font>
      <sz val="11"/>
      <color theme="1"/>
      <name val="Arial"/>
      <family val="2"/>
    </font>
  </fonts>
  <fills count="1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CE4D6"/>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39994506668294322"/>
        <bgColor indexed="64"/>
      </patternFill>
    </fill>
  </fills>
  <borders count="11">
    <border>
      <left/>
      <right/>
      <top/>
      <bottom/>
      <diagonal/>
    </border>
    <border>
      <left/>
      <right/>
      <top/>
      <bottom style="thick">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113">
    <xf numFmtId="0" fontId="0" fillId="0" borderId="0" xfId="0"/>
    <xf numFmtId="10" fontId="0" fillId="0" borderId="0" xfId="0" applyNumberFormat="1"/>
    <xf numFmtId="38" fontId="0" fillId="2" borderId="0" xfId="0" applyNumberFormat="1" applyFill="1"/>
    <xf numFmtId="38" fontId="0" fillId="3" borderId="0" xfId="0" applyNumberFormat="1" applyFill="1"/>
    <xf numFmtId="0" fontId="0" fillId="2" borderId="0" xfId="0" applyFill="1"/>
    <xf numFmtId="10" fontId="0" fillId="3" borderId="0" xfId="0" applyNumberFormat="1" applyFill="1"/>
    <xf numFmtId="10" fontId="0" fillId="2" borderId="0" xfId="0" applyNumberFormat="1" applyFill="1"/>
    <xf numFmtId="9" fontId="0" fillId="2" borderId="0" xfId="0" applyNumberFormat="1" applyFill="1"/>
    <xf numFmtId="6" fontId="0" fillId="0" borderId="0" xfId="0" applyNumberFormat="1" applyFill="1"/>
    <xf numFmtId="0" fontId="0" fillId="0" borderId="0" xfId="0" applyFill="1"/>
    <xf numFmtId="6" fontId="0" fillId="0" borderId="0" xfId="0" applyNumberFormat="1"/>
    <xf numFmtId="164" fontId="0" fillId="0" borderId="0" xfId="0" applyNumberFormat="1"/>
    <xf numFmtId="38" fontId="0" fillId="0" borderId="0" xfId="0" applyNumberFormat="1"/>
    <xf numFmtId="165" fontId="0" fillId="0" borderId="0" xfId="0" applyNumberFormat="1"/>
    <xf numFmtId="0" fontId="0" fillId="3" borderId="0" xfId="0" applyFill="1"/>
    <xf numFmtId="8" fontId="0" fillId="0" borderId="0" xfId="0" applyNumberFormat="1"/>
    <xf numFmtId="10" fontId="0" fillId="0" borderId="0" xfId="0" applyNumberFormat="1" applyFill="1"/>
    <xf numFmtId="38" fontId="0" fillId="0" borderId="0" xfId="0" applyNumberFormat="1" applyFill="1"/>
    <xf numFmtId="166" fontId="0" fillId="0" borderId="0" xfId="0" applyNumberFormat="1"/>
    <xf numFmtId="9" fontId="0" fillId="0" borderId="0" xfId="0" applyNumberFormat="1"/>
    <xf numFmtId="9" fontId="0" fillId="0" borderId="0" xfId="0" applyNumberFormat="1" applyFill="1"/>
    <xf numFmtId="10" fontId="0" fillId="6" borderId="0" xfId="0" applyNumberFormat="1" applyFill="1"/>
    <xf numFmtId="165" fontId="0" fillId="6" borderId="0" xfId="0" applyNumberFormat="1" applyFill="1"/>
    <xf numFmtId="9" fontId="0" fillId="6" borderId="0" xfId="0" applyNumberFormat="1" applyFill="1"/>
    <xf numFmtId="166" fontId="0" fillId="9" borderId="0" xfId="0" applyNumberFormat="1" applyFill="1"/>
    <xf numFmtId="6" fontId="0" fillId="0" borderId="0" xfId="0" applyNumberFormat="1" applyBorder="1"/>
    <xf numFmtId="0" fontId="0" fillId="0" borderId="0" xfId="0" applyBorder="1"/>
    <xf numFmtId="8" fontId="0" fillId="0" borderId="0" xfId="0" applyNumberFormat="1" applyFill="1"/>
    <xf numFmtId="10" fontId="0" fillId="0" borderId="0" xfId="0" applyNumberFormat="1" applyFill="1" applyAlignment="1">
      <alignment horizontal="right"/>
    </xf>
    <xf numFmtId="0" fontId="0" fillId="0" borderId="0" xfId="0" applyAlignment="1">
      <alignment horizontal="right"/>
    </xf>
    <xf numFmtId="0" fontId="0" fillId="0" borderId="0" xfId="0" applyFill="1" applyBorder="1"/>
    <xf numFmtId="6" fontId="0" fillId="3" borderId="0" xfId="0" applyNumberFormat="1" applyFill="1"/>
    <xf numFmtId="0" fontId="0" fillId="0" borderId="0" xfId="0"/>
    <xf numFmtId="0" fontId="0" fillId="7" borderId="4" xfId="0" applyFill="1" applyBorder="1" applyAlignment="1"/>
    <xf numFmtId="0" fontId="0" fillId="0" borderId="0" xfId="0"/>
    <xf numFmtId="0" fontId="0" fillId="5" borderId="0" xfId="0" applyFill="1"/>
    <xf numFmtId="0" fontId="2" fillId="5" borderId="0" xfId="0" applyFont="1" applyFill="1"/>
    <xf numFmtId="167" fontId="0" fillId="7" borderId="2" xfId="1" applyNumberFormat="1" applyFont="1" applyFill="1" applyBorder="1" applyAlignment="1">
      <alignment horizontal="right"/>
    </xf>
    <xf numFmtId="167" fontId="0" fillId="7" borderId="5" xfId="1" applyNumberFormat="1" applyFont="1" applyFill="1" applyBorder="1" applyAlignment="1">
      <alignment horizontal="right"/>
    </xf>
    <xf numFmtId="167" fontId="0" fillId="5" borderId="0" xfId="1" applyNumberFormat="1" applyFont="1" applyFill="1" applyAlignment="1">
      <alignment horizontal="left" indent="1"/>
    </xf>
    <xf numFmtId="0" fontId="5" fillId="5" borderId="0" xfId="0" applyFont="1" applyFill="1"/>
    <xf numFmtId="0" fontId="0" fillId="7" borderId="3" xfId="0" applyFill="1" applyBorder="1" applyAlignment="1"/>
    <xf numFmtId="0" fontId="0" fillId="0" borderId="0" xfId="0" applyAlignment="1">
      <alignment horizontal="center"/>
    </xf>
    <xf numFmtId="10" fontId="0" fillId="10" borderId="0" xfId="0" applyNumberFormat="1" applyFill="1"/>
    <xf numFmtId="0" fontId="0" fillId="2" borderId="0" xfId="0" applyFill="1" applyAlignment="1">
      <alignment horizontal="center"/>
    </xf>
    <xf numFmtId="0" fontId="0" fillId="0" borderId="0" xfId="0" applyAlignment="1">
      <alignment wrapText="1"/>
    </xf>
    <xf numFmtId="168" fontId="0" fillId="0" borderId="0" xfId="0" applyNumberFormat="1"/>
    <xf numFmtId="167" fontId="0" fillId="7" borderId="0" xfId="1" applyNumberFormat="1" applyFont="1" applyFill="1" applyBorder="1" applyAlignment="1">
      <alignment horizontal="right"/>
    </xf>
    <xf numFmtId="0" fontId="2" fillId="0" borderId="0" xfId="0" applyFont="1"/>
    <xf numFmtId="0" fontId="0" fillId="5" borderId="2" xfId="0" applyFill="1" applyBorder="1"/>
    <xf numFmtId="0" fontId="0" fillId="5" borderId="2" xfId="0" applyFill="1" applyBorder="1" applyAlignment="1">
      <alignment wrapText="1"/>
    </xf>
    <xf numFmtId="0" fontId="0" fillId="0" borderId="2" xfId="0" applyBorder="1"/>
    <xf numFmtId="0" fontId="0" fillId="5" borderId="2" xfId="0" applyFont="1" applyFill="1" applyBorder="1" applyAlignment="1">
      <alignment horizontal="left" indent="1"/>
    </xf>
    <xf numFmtId="0" fontId="0" fillId="3" borderId="0" xfId="0" applyFill="1" applyAlignment="1">
      <alignment horizontal="center"/>
    </xf>
    <xf numFmtId="0" fontId="0" fillId="0" borderId="0" xfId="0" applyAlignment="1">
      <alignment horizontal="center" vertical="center"/>
    </xf>
    <xf numFmtId="0" fontId="2" fillId="2" borderId="0" xfId="0" applyFont="1" applyFill="1"/>
    <xf numFmtId="0" fontId="0" fillId="7" borderId="3" xfId="0" applyFill="1" applyBorder="1" applyAlignment="1"/>
    <xf numFmtId="0" fontId="0" fillId="0" borderId="0" xfId="0" applyAlignment="1">
      <alignment horizontal="center" vertical="top" wrapText="1"/>
    </xf>
    <xf numFmtId="0" fontId="0" fillId="0" borderId="0" xfId="0" applyAlignment="1">
      <alignment horizontal="left" vertical="top" wrapText="1"/>
    </xf>
    <xf numFmtId="0" fontId="8" fillId="0" borderId="0" xfId="0" applyFont="1" applyAlignment="1">
      <alignment horizontal="center" vertical="top" wrapText="1"/>
    </xf>
    <xf numFmtId="6" fontId="0" fillId="12" borderId="7" xfId="0" applyNumberFormat="1" applyFill="1" applyBorder="1"/>
    <xf numFmtId="6" fontId="0" fillId="8" borderId="7" xfId="0" applyNumberFormat="1" applyFill="1" applyBorder="1"/>
    <xf numFmtId="166" fontId="0" fillId="0" borderId="0" xfId="0" applyNumberFormat="1" applyFill="1"/>
    <xf numFmtId="166" fontId="0" fillId="0" borderId="0" xfId="0" applyNumberFormat="1" applyFill="1" applyAlignment="1">
      <alignment vertical="top" wrapText="1"/>
    </xf>
    <xf numFmtId="0" fontId="12" fillId="0" borderId="0" xfId="0" applyFont="1" applyAlignment="1">
      <alignment wrapText="1"/>
    </xf>
    <xf numFmtId="10" fontId="0" fillId="0" borderId="0" xfId="0" applyNumberFormat="1" applyAlignment="1">
      <alignment wrapText="1"/>
    </xf>
    <xf numFmtId="0" fontId="0" fillId="0" borderId="0" xfId="0" applyAlignment="1">
      <alignment horizontal="right" wrapText="1"/>
    </xf>
    <xf numFmtId="0" fontId="0" fillId="13" borderId="0" xfId="0" applyFill="1" applyAlignment="1">
      <alignment wrapText="1"/>
    </xf>
    <xf numFmtId="0" fontId="0" fillId="14" borderId="7" xfId="0" applyFill="1" applyBorder="1"/>
    <xf numFmtId="170" fontId="0" fillId="13" borderId="0" xfId="0" applyNumberFormat="1" applyFill="1" applyAlignment="1">
      <alignment wrapText="1"/>
    </xf>
    <xf numFmtId="0" fontId="0" fillId="9" borderId="0" xfId="0" applyFill="1"/>
    <xf numFmtId="170" fontId="0" fillId="0" borderId="0" xfId="0" applyNumberFormat="1"/>
    <xf numFmtId="0" fontId="0" fillId="12" borderId="0" xfId="0" applyFill="1"/>
    <xf numFmtId="171" fontId="0" fillId="2" borderId="0" xfId="0" applyNumberFormat="1" applyFill="1"/>
    <xf numFmtId="0" fontId="0" fillId="0" borderId="9" xfId="0" applyBorder="1"/>
    <xf numFmtId="0" fontId="0" fillId="6" borderId="9" xfId="0" applyFill="1" applyBorder="1"/>
    <xf numFmtId="0" fontId="0" fillId="0" borderId="9" xfId="0" applyFill="1" applyBorder="1"/>
    <xf numFmtId="0" fontId="0" fillId="2" borderId="9" xfId="0" applyFill="1" applyBorder="1"/>
    <xf numFmtId="0" fontId="0" fillId="4" borderId="9" xfId="0" applyFill="1" applyBorder="1" applyAlignment="1">
      <alignment wrapText="1"/>
    </xf>
    <xf numFmtId="0" fontId="0" fillId="8" borderId="9" xfId="0" applyFill="1" applyBorder="1"/>
    <xf numFmtId="0" fontId="0" fillId="0" borderId="9" xfId="0" applyBorder="1" applyAlignment="1">
      <alignment wrapText="1"/>
    </xf>
    <xf numFmtId="0" fontId="0" fillId="15" borderId="10" xfId="0" applyFill="1" applyBorder="1" applyAlignment="1">
      <alignment vertical="top" wrapText="1"/>
    </xf>
    <xf numFmtId="0" fontId="0" fillId="2" borderId="9" xfId="0" applyFill="1" applyBorder="1" applyAlignment="1">
      <alignment wrapText="1"/>
    </xf>
    <xf numFmtId="0" fontId="0" fillId="2" borderId="9" xfId="0" applyFill="1" applyBorder="1" applyAlignment="1">
      <alignment vertical="top" wrapText="1"/>
    </xf>
    <xf numFmtId="6" fontId="0" fillId="4" borderId="0" xfId="0" applyNumberFormat="1" applyFill="1"/>
    <xf numFmtId="6" fontId="0" fillId="4" borderId="1" xfId="0" applyNumberFormat="1" applyFill="1" applyBorder="1"/>
    <xf numFmtId="8" fontId="0" fillId="0" borderId="1" xfId="0" applyNumberFormat="1" applyFill="1" applyBorder="1"/>
    <xf numFmtId="169" fontId="0" fillId="3" borderId="0" xfId="0" applyNumberFormat="1" applyFill="1"/>
    <xf numFmtId="0" fontId="0" fillId="7" borderId="6" xfId="0" applyFill="1" applyBorder="1" applyAlignment="1">
      <alignment wrapText="1"/>
    </xf>
    <xf numFmtId="0" fontId="0" fillId="0" borderId="4" xfId="0" applyBorder="1" applyAlignment="1">
      <alignment wrapText="1"/>
    </xf>
    <xf numFmtId="0" fontId="0" fillId="11" borderId="3" xfId="0" applyFill="1" applyBorder="1" applyAlignment="1"/>
    <xf numFmtId="0" fontId="0" fillId="11" borderId="4" xfId="0" applyFill="1" applyBorder="1" applyAlignment="1"/>
    <xf numFmtId="0" fontId="0" fillId="7" borderId="3" xfId="0" applyFill="1" applyBorder="1" applyAlignment="1">
      <alignment vertical="top" wrapText="1"/>
    </xf>
    <xf numFmtId="0" fontId="0" fillId="0" borderId="4" xfId="0" applyBorder="1" applyAlignment="1">
      <alignment vertical="top" wrapText="1"/>
    </xf>
    <xf numFmtId="0" fontId="4" fillId="5" borderId="0" xfId="0" applyFont="1" applyFill="1" applyAlignment="1">
      <alignment horizontal="center" vertical="center"/>
    </xf>
    <xf numFmtId="0" fontId="5" fillId="0" borderId="0" xfId="0" applyFont="1" applyAlignment="1">
      <alignment horizontal="center" vertical="center"/>
    </xf>
    <xf numFmtId="0" fontId="4" fillId="5" borderId="0" xfId="0" quotePrefix="1" applyFont="1" applyFill="1" applyAlignment="1">
      <alignment horizontal="center" vertical="center" wrapText="1"/>
    </xf>
    <xf numFmtId="0" fontId="5" fillId="0" borderId="0" xfId="0" applyFont="1" applyAlignment="1">
      <alignment horizontal="center" vertical="center" wrapText="1"/>
    </xf>
    <xf numFmtId="0" fontId="0" fillId="7" borderId="3" xfId="0" applyFill="1" applyBorder="1" applyAlignment="1"/>
    <xf numFmtId="0" fontId="0" fillId="0" borderId="4" xfId="0" applyBorder="1" applyAlignment="1"/>
    <xf numFmtId="0" fontId="3" fillId="7" borderId="3" xfId="2" applyFill="1" applyBorder="1" applyAlignment="1"/>
    <xf numFmtId="0" fontId="3" fillId="7" borderId="2" xfId="2" applyFill="1" applyBorder="1" applyAlignment="1"/>
    <xf numFmtId="0" fontId="0" fillId="0" borderId="2" xfId="0" applyBorder="1" applyAlignment="1"/>
    <xf numFmtId="0" fontId="0" fillId="3" borderId="3" xfId="0" applyFill="1" applyBorder="1" applyAlignment="1"/>
    <xf numFmtId="0" fontId="11" fillId="0" borderId="0" xfId="0" applyFont="1" applyBorder="1" applyAlignment="1">
      <alignment horizontal="center" vertical="top" wrapText="1"/>
    </xf>
    <xf numFmtId="0" fontId="0" fillId="0" borderId="0" xfId="0" applyAlignment="1">
      <alignment vertical="top" wrapText="1"/>
    </xf>
    <xf numFmtId="0" fontId="7" fillId="0" borderId="0" xfId="0" applyFont="1" applyAlignment="1">
      <alignment horizontal="center" vertical="top" wrapText="1"/>
    </xf>
    <xf numFmtId="0" fontId="0" fillId="0" borderId="0" xfId="0" applyAlignment="1">
      <alignment horizontal="center" vertical="top" wrapText="1"/>
    </xf>
    <xf numFmtId="0" fontId="9"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horizontal="center" vertical="top" wrapText="1"/>
    </xf>
    <xf numFmtId="0" fontId="9" fillId="0" borderId="0" xfId="0" applyFont="1" applyAlignment="1">
      <alignment horizontal="center" vertical="top" wrapText="1"/>
    </xf>
    <xf numFmtId="0" fontId="0" fillId="0" borderId="8" xfId="0" applyBorder="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David Comis" id="{A5C9462E-F55C-40A6-AFEE-4F7C68ECBA49}" userId="S::David.Comis@Maryland.gov::9e2f6511-e4b4-4ed1-9993-bad91e10378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7" dT="2021-06-11T19:03:44.35" personId="{A5C9462E-F55C-40A6-AFEE-4F7C68ECBA49}" id="{EA89715E-853C-4AF9-8D3D-C0E8B6A8988B}">
    <text>Equal to the average Community Solar Energy Generation Credit Rate for the last 12 months for the utility service territory.  If there are different county energy tax rates, use the larger of the rates.  List all of the County energy tax rates in the cover letter.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9"/>
  <sheetViews>
    <sheetView tabSelected="1" topLeftCell="A61" workbookViewId="0">
      <selection activeCell="C61" sqref="C61"/>
    </sheetView>
  </sheetViews>
  <sheetFormatPr defaultRowHeight="15" x14ac:dyDescent="0.25"/>
  <cols>
    <col min="3" max="3" width="46" customWidth="1"/>
    <col min="4" max="4" width="24.85546875" customWidth="1"/>
  </cols>
  <sheetData>
    <row r="1" spans="1:6" ht="18.75" x14ac:dyDescent="0.3">
      <c r="A1" s="32"/>
      <c r="B1" s="94" t="s">
        <v>83</v>
      </c>
      <c r="C1" s="95"/>
      <c r="D1" s="95"/>
      <c r="E1" s="95"/>
      <c r="F1" s="40"/>
    </row>
    <row r="2" spans="1:6" ht="18.75" x14ac:dyDescent="0.3">
      <c r="A2" s="32"/>
      <c r="B2" s="96" t="s">
        <v>31</v>
      </c>
      <c r="C2" s="97"/>
      <c r="D2" s="97"/>
      <c r="E2" s="97"/>
      <c r="F2" s="40"/>
    </row>
    <row r="3" spans="1:6" x14ac:dyDescent="0.25">
      <c r="A3" s="32"/>
      <c r="B3" s="32"/>
      <c r="C3" s="32"/>
      <c r="D3" s="32"/>
      <c r="E3" s="32"/>
      <c r="F3" s="32"/>
    </row>
    <row r="4" spans="1:6" x14ac:dyDescent="0.25">
      <c r="A4" s="32"/>
      <c r="B4" s="36" t="s">
        <v>21</v>
      </c>
      <c r="C4" s="34"/>
      <c r="D4" s="34"/>
      <c r="E4" s="34"/>
      <c r="F4" s="34"/>
    </row>
    <row r="5" spans="1:6" x14ac:dyDescent="0.25">
      <c r="A5" s="32"/>
      <c r="B5" s="34"/>
      <c r="C5" s="49" t="s">
        <v>145</v>
      </c>
      <c r="D5" s="98"/>
      <c r="E5" s="99"/>
      <c r="F5" s="34"/>
    </row>
    <row r="6" spans="1:6" x14ac:dyDescent="0.25">
      <c r="A6" s="32"/>
      <c r="B6" s="34"/>
      <c r="C6" s="49" t="s">
        <v>22</v>
      </c>
      <c r="D6" s="98"/>
      <c r="E6" s="99"/>
      <c r="F6" s="34"/>
    </row>
    <row r="7" spans="1:6" s="34" customFormat="1" x14ac:dyDescent="0.25">
      <c r="C7" s="49" t="s">
        <v>84</v>
      </c>
      <c r="D7" s="103"/>
      <c r="E7" s="99"/>
    </row>
    <row r="8" spans="1:6" x14ac:dyDescent="0.25">
      <c r="A8" s="32"/>
      <c r="B8" s="34"/>
      <c r="C8" s="49" t="s">
        <v>160</v>
      </c>
      <c r="D8" s="98"/>
      <c r="E8" s="99"/>
      <c r="F8" s="34"/>
    </row>
    <row r="9" spans="1:6" s="34" customFormat="1" x14ac:dyDescent="0.25">
      <c r="C9" s="49" t="s">
        <v>143</v>
      </c>
      <c r="D9" s="98"/>
      <c r="E9" s="99"/>
    </row>
    <row r="10" spans="1:6" s="34" customFormat="1" x14ac:dyDescent="0.25">
      <c r="C10" s="49" t="s">
        <v>144</v>
      </c>
      <c r="D10" s="98"/>
      <c r="E10" s="99"/>
    </row>
    <row r="11" spans="1:6" s="34" customFormat="1" x14ac:dyDescent="0.25">
      <c r="C11" s="49" t="s">
        <v>146</v>
      </c>
      <c r="D11" s="41"/>
      <c r="E11" s="33"/>
    </row>
    <row r="12" spans="1:6" s="34" customFormat="1" x14ac:dyDescent="0.25">
      <c r="C12" s="49" t="s">
        <v>73</v>
      </c>
      <c r="D12" s="56"/>
      <c r="E12" s="33"/>
    </row>
    <row r="13" spans="1:6" s="34" customFormat="1" x14ac:dyDescent="0.25">
      <c r="C13" s="49" t="s">
        <v>74</v>
      </c>
      <c r="D13" s="41"/>
      <c r="E13" s="33"/>
    </row>
    <row r="14" spans="1:6" s="34" customFormat="1" x14ac:dyDescent="0.25">
      <c r="C14" s="49" t="s">
        <v>75</v>
      </c>
      <c r="D14" s="41"/>
      <c r="E14" s="33"/>
    </row>
    <row r="15" spans="1:6" s="34" customFormat="1" x14ac:dyDescent="0.25">
      <c r="C15" s="49" t="s">
        <v>76</v>
      </c>
      <c r="D15" s="41"/>
      <c r="E15" s="33"/>
    </row>
    <row r="16" spans="1:6" s="34" customFormat="1" x14ac:dyDescent="0.25">
      <c r="C16" s="49" t="s">
        <v>147</v>
      </c>
      <c r="D16" s="100"/>
      <c r="E16" s="99"/>
    </row>
    <row r="17" spans="1:6" s="34" customFormat="1" x14ac:dyDescent="0.25">
      <c r="C17" s="49" t="s">
        <v>148</v>
      </c>
      <c r="D17" s="100"/>
      <c r="E17" s="99"/>
    </row>
    <row r="18" spans="1:6" s="34" customFormat="1" x14ac:dyDescent="0.25">
      <c r="C18" s="49" t="s">
        <v>149</v>
      </c>
      <c r="D18" s="101"/>
      <c r="E18" s="102"/>
    </row>
    <row r="19" spans="1:6" x14ac:dyDescent="0.25">
      <c r="A19" s="32"/>
      <c r="B19" s="32"/>
      <c r="C19" s="32"/>
      <c r="D19" s="32"/>
      <c r="E19" s="32"/>
      <c r="F19" s="32"/>
    </row>
    <row r="20" spans="1:6" x14ac:dyDescent="0.25">
      <c r="A20" s="32"/>
      <c r="B20" s="36" t="s">
        <v>23</v>
      </c>
      <c r="C20" s="34"/>
      <c r="D20" s="34"/>
      <c r="E20" s="34"/>
      <c r="F20" s="34"/>
    </row>
    <row r="21" spans="1:6" x14ac:dyDescent="0.25">
      <c r="A21" s="32"/>
      <c r="B21" s="34"/>
      <c r="C21" s="49" t="s">
        <v>24</v>
      </c>
      <c r="D21" s="98"/>
      <c r="E21" s="99"/>
      <c r="F21" s="34"/>
    </row>
    <row r="22" spans="1:6" s="34" customFormat="1" x14ac:dyDescent="0.25">
      <c r="C22" s="49" t="s">
        <v>58</v>
      </c>
      <c r="D22" s="98"/>
      <c r="E22" s="99"/>
    </row>
    <row r="23" spans="1:6" x14ac:dyDescent="0.25">
      <c r="A23" s="32"/>
      <c r="B23" s="34"/>
      <c r="C23" s="49" t="s">
        <v>25</v>
      </c>
      <c r="D23" s="98"/>
      <c r="E23" s="99"/>
      <c r="F23" s="34"/>
    </row>
    <row r="24" spans="1:6" x14ac:dyDescent="0.25">
      <c r="A24" s="32"/>
      <c r="B24" s="34"/>
      <c r="C24" s="49" t="s">
        <v>59</v>
      </c>
      <c r="D24" s="98"/>
      <c r="E24" s="99"/>
      <c r="F24" s="34"/>
    </row>
    <row r="25" spans="1:6" x14ac:dyDescent="0.25">
      <c r="A25" s="32"/>
      <c r="B25" s="34"/>
      <c r="C25" s="49" t="s">
        <v>85</v>
      </c>
      <c r="D25" s="38"/>
      <c r="E25" s="39" t="s">
        <v>45</v>
      </c>
      <c r="F25" s="34"/>
    </row>
    <row r="26" spans="1:6" x14ac:dyDescent="0.25">
      <c r="A26" s="32"/>
      <c r="B26" s="34"/>
      <c r="C26" s="49" t="s">
        <v>26</v>
      </c>
      <c r="D26" s="37"/>
      <c r="E26" s="39" t="s">
        <v>46</v>
      </c>
      <c r="F26" s="34"/>
    </row>
    <row r="27" spans="1:6" s="34" customFormat="1" x14ac:dyDescent="0.25">
      <c r="C27" s="49" t="s">
        <v>60</v>
      </c>
      <c r="D27" s="37"/>
      <c r="E27" s="39" t="s">
        <v>61</v>
      </c>
    </row>
    <row r="28" spans="1:6" s="34" customFormat="1" x14ac:dyDescent="0.25">
      <c r="C28" s="49" t="s">
        <v>86</v>
      </c>
      <c r="D28" s="37"/>
      <c r="E28" s="39"/>
    </row>
    <row r="29" spans="1:6" s="34" customFormat="1" x14ac:dyDescent="0.25">
      <c r="C29" s="49" t="s">
        <v>87</v>
      </c>
      <c r="D29" s="37"/>
      <c r="E29" s="39" t="s">
        <v>45</v>
      </c>
    </row>
    <row r="30" spans="1:6" s="34" customFormat="1" x14ac:dyDescent="0.25">
      <c r="C30" s="49" t="s">
        <v>165</v>
      </c>
      <c r="D30" s="37"/>
      <c r="E30" s="39" t="s">
        <v>164</v>
      </c>
    </row>
    <row r="31" spans="1:6" s="34" customFormat="1" x14ac:dyDescent="0.25">
      <c r="C31" s="49" t="s">
        <v>29</v>
      </c>
      <c r="D31" s="37"/>
      <c r="E31" s="39"/>
    </row>
    <row r="32" spans="1:6" s="34" customFormat="1" ht="48.75" customHeight="1" x14ac:dyDescent="0.25">
      <c r="C32" s="50" t="s">
        <v>57</v>
      </c>
      <c r="D32" s="37"/>
      <c r="E32" s="39"/>
    </row>
    <row r="33" spans="1:6" s="34" customFormat="1" x14ac:dyDescent="0.25">
      <c r="C33" s="49" t="s">
        <v>62</v>
      </c>
      <c r="D33" s="37"/>
      <c r="E33" s="39"/>
    </row>
    <row r="34" spans="1:6" s="34" customFormat="1" x14ac:dyDescent="0.25">
      <c r="C34" s="50" t="s">
        <v>141</v>
      </c>
      <c r="D34" s="37"/>
      <c r="E34" s="39"/>
    </row>
    <row r="35" spans="1:6" s="34" customFormat="1" x14ac:dyDescent="0.25">
      <c r="C35" s="51" t="s">
        <v>142</v>
      </c>
      <c r="D35" s="37"/>
      <c r="E35" s="39"/>
    </row>
    <row r="36" spans="1:6" s="34" customFormat="1" x14ac:dyDescent="0.25">
      <c r="C36" s="35"/>
      <c r="D36" s="47"/>
      <c r="E36" s="39"/>
    </row>
    <row r="37" spans="1:6" x14ac:dyDescent="0.25">
      <c r="A37" s="32"/>
      <c r="B37" s="36" t="s">
        <v>30</v>
      </c>
      <c r="C37" s="34"/>
      <c r="D37" s="34"/>
      <c r="E37" s="39"/>
      <c r="F37" s="34"/>
    </row>
    <row r="38" spans="1:6" ht="30" x14ac:dyDescent="0.25">
      <c r="A38" s="32"/>
      <c r="B38" s="34"/>
      <c r="C38" s="50" t="s">
        <v>150</v>
      </c>
      <c r="D38" s="88"/>
      <c r="E38" s="89"/>
      <c r="F38" s="34"/>
    </row>
    <row r="39" spans="1:6" ht="30" x14ac:dyDescent="0.25">
      <c r="A39" s="32"/>
      <c r="B39" s="34"/>
      <c r="C39" s="50" t="s">
        <v>151</v>
      </c>
      <c r="D39" s="88"/>
      <c r="E39" s="89"/>
      <c r="F39" s="34"/>
    </row>
    <row r="40" spans="1:6" x14ac:dyDescent="0.25">
      <c r="A40" s="32"/>
      <c r="B40" s="34"/>
      <c r="C40" s="51"/>
      <c r="D40" s="34"/>
      <c r="E40" s="34"/>
      <c r="F40" s="32"/>
    </row>
    <row r="41" spans="1:6" x14ac:dyDescent="0.25">
      <c r="A41" s="32"/>
      <c r="B41" s="34"/>
      <c r="C41" s="49" t="s">
        <v>27</v>
      </c>
      <c r="D41" s="92"/>
      <c r="E41" s="93"/>
      <c r="F41" s="32"/>
    </row>
    <row r="42" spans="1:6" x14ac:dyDescent="0.25">
      <c r="A42" s="34"/>
      <c r="B42" s="34"/>
      <c r="C42" s="34"/>
      <c r="D42" s="34"/>
      <c r="E42" s="39"/>
      <c r="F42" s="32"/>
    </row>
    <row r="43" spans="1:6" x14ac:dyDescent="0.25">
      <c r="A43" s="34"/>
      <c r="B43" s="36" t="s">
        <v>28</v>
      </c>
      <c r="C43" s="34"/>
      <c r="D43" s="34"/>
      <c r="E43" s="34"/>
      <c r="F43" s="32"/>
    </row>
    <row r="44" spans="1:6" x14ac:dyDescent="0.25">
      <c r="A44" s="34"/>
      <c r="C44" s="52" t="s">
        <v>32</v>
      </c>
      <c r="D44" s="90"/>
      <c r="E44" s="91"/>
      <c r="F44" s="32"/>
    </row>
    <row r="45" spans="1:6" x14ac:dyDescent="0.25">
      <c r="A45" s="32"/>
      <c r="C45" s="51" t="s">
        <v>33</v>
      </c>
      <c r="D45" s="90"/>
      <c r="E45" s="91"/>
      <c r="F45" s="32"/>
    </row>
    <row r="50" spans="2:12" x14ac:dyDescent="0.25">
      <c r="B50" s="48" t="s">
        <v>49</v>
      </c>
    </row>
    <row r="51" spans="2:12" x14ac:dyDescent="0.25">
      <c r="B51" s="54">
        <v>1</v>
      </c>
      <c r="C51" t="s">
        <v>50</v>
      </c>
    </row>
    <row r="52" spans="2:12" x14ac:dyDescent="0.25">
      <c r="B52" s="54">
        <v>2</v>
      </c>
      <c r="C52" t="s">
        <v>51</v>
      </c>
    </row>
    <row r="53" spans="2:12" x14ac:dyDescent="0.25">
      <c r="B53" s="54">
        <v>3</v>
      </c>
      <c r="C53" t="s">
        <v>52</v>
      </c>
    </row>
    <row r="54" spans="2:12" x14ac:dyDescent="0.25">
      <c r="B54" s="54">
        <v>4</v>
      </c>
      <c r="C54" t="s">
        <v>53</v>
      </c>
    </row>
    <row r="55" spans="2:12" ht="45" x14ac:dyDescent="0.25">
      <c r="B55" s="54">
        <v>5</v>
      </c>
      <c r="C55" s="45" t="s">
        <v>54</v>
      </c>
    </row>
    <row r="56" spans="2:12" ht="30" x14ac:dyDescent="0.25">
      <c r="B56" s="54">
        <v>6</v>
      </c>
      <c r="C56" s="45" t="s">
        <v>55</v>
      </c>
    </row>
    <row r="57" spans="2:12" x14ac:dyDescent="0.25">
      <c r="B57" s="54">
        <v>7</v>
      </c>
      <c r="C57" t="s">
        <v>56</v>
      </c>
    </row>
    <row r="58" spans="2:12" ht="32.25" customHeight="1" x14ac:dyDescent="0.25">
      <c r="B58" s="54">
        <v>8</v>
      </c>
      <c r="C58" s="45" t="s">
        <v>68</v>
      </c>
    </row>
    <row r="59" spans="2:12" ht="30" x14ac:dyDescent="0.25">
      <c r="B59" s="54">
        <v>9</v>
      </c>
      <c r="C59" s="45" t="s">
        <v>152</v>
      </c>
    </row>
    <row r="60" spans="2:12" s="34" customFormat="1" ht="45" x14ac:dyDescent="0.25">
      <c r="B60" s="54">
        <v>10</v>
      </c>
      <c r="C60" s="45" t="s">
        <v>166</v>
      </c>
    </row>
    <row r="61" spans="2:12" s="34" customFormat="1" x14ac:dyDescent="0.25">
      <c r="B61" s="54"/>
    </row>
    <row r="62" spans="2:12" s="34" customFormat="1" ht="28.5" customHeight="1" x14ac:dyDescent="0.25">
      <c r="B62" s="106" t="s">
        <v>72</v>
      </c>
      <c r="C62" s="107"/>
      <c r="D62" s="107"/>
      <c r="E62" s="59"/>
      <c r="F62" s="59"/>
      <c r="G62" s="59"/>
      <c r="H62" s="59"/>
      <c r="I62" s="59"/>
      <c r="J62" s="59"/>
      <c r="K62" s="45"/>
      <c r="L62" s="45"/>
    </row>
    <row r="63" spans="2:12" s="34" customFormat="1" ht="71.25" customHeight="1" x14ac:dyDescent="0.25">
      <c r="B63" s="108" t="s">
        <v>161</v>
      </c>
      <c r="C63" s="109"/>
      <c r="D63" s="109"/>
      <c r="E63" s="58"/>
      <c r="F63" s="58"/>
      <c r="G63" s="58"/>
      <c r="H63" s="58"/>
      <c r="I63" s="58"/>
      <c r="J63" s="58"/>
      <c r="K63" s="58"/>
      <c r="L63" s="58"/>
    </row>
    <row r="64" spans="2:12" s="34" customFormat="1" ht="54" customHeight="1" x14ac:dyDescent="0.25">
      <c r="B64" s="110" t="s">
        <v>70</v>
      </c>
      <c r="C64" s="107"/>
      <c r="D64" s="107"/>
      <c r="E64" s="57"/>
      <c r="F64" s="57"/>
      <c r="G64" s="57"/>
      <c r="H64" s="57"/>
      <c r="I64" s="57"/>
      <c r="J64" s="57"/>
      <c r="K64" s="57"/>
      <c r="L64" s="57"/>
    </row>
    <row r="65" spans="2:12" s="34" customFormat="1" ht="29.25" customHeight="1" x14ac:dyDescent="0.25">
      <c r="B65" s="111" t="s">
        <v>71</v>
      </c>
      <c r="C65" s="107"/>
      <c r="D65" s="107"/>
      <c r="E65" s="57"/>
      <c r="F65" s="57"/>
      <c r="G65" s="57"/>
      <c r="H65" s="57"/>
      <c r="I65" s="57"/>
      <c r="J65" s="57"/>
      <c r="K65" s="57"/>
      <c r="L65" s="57"/>
    </row>
    <row r="66" spans="2:12" s="34" customFormat="1" ht="72.75" customHeight="1" x14ac:dyDescent="0.25">
      <c r="B66" s="104" t="s">
        <v>162</v>
      </c>
      <c r="C66" s="105"/>
      <c r="D66" s="105"/>
      <c r="E66" s="45"/>
      <c r="F66" s="45"/>
      <c r="G66" s="45"/>
      <c r="H66" s="45"/>
      <c r="I66" s="45"/>
      <c r="J66" s="45"/>
      <c r="K66" s="45"/>
      <c r="L66" s="45"/>
    </row>
    <row r="67" spans="2:12" s="34" customFormat="1" x14ac:dyDescent="0.25">
      <c r="B67" s="54"/>
    </row>
    <row r="68" spans="2:12" x14ac:dyDescent="0.25">
      <c r="C68" t="s">
        <v>153</v>
      </c>
    </row>
    <row r="69" spans="2:12" x14ac:dyDescent="0.25">
      <c r="C69" t="s">
        <v>154</v>
      </c>
    </row>
  </sheetData>
  <protectedRanges>
    <protectedRange sqref="I63:I66 K63:K66" name="Range2"/>
  </protectedRanges>
  <mergeCells count="25">
    <mergeCell ref="B66:D66"/>
    <mergeCell ref="B62:D62"/>
    <mergeCell ref="B63:D63"/>
    <mergeCell ref="B64:D64"/>
    <mergeCell ref="B65:D65"/>
    <mergeCell ref="B1:E1"/>
    <mergeCell ref="B2:E2"/>
    <mergeCell ref="D24:E24"/>
    <mergeCell ref="D5:E5"/>
    <mergeCell ref="D6:E6"/>
    <mergeCell ref="D8:E8"/>
    <mergeCell ref="D21:E21"/>
    <mergeCell ref="D23:E23"/>
    <mergeCell ref="D16:E16"/>
    <mergeCell ref="D18:E18"/>
    <mergeCell ref="D22:E22"/>
    <mergeCell ref="D17:E17"/>
    <mergeCell ref="D7:E7"/>
    <mergeCell ref="D9:E9"/>
    <mergeCell ref="D10:E10"/>
    <mergeCell ref="D38:E38"/>
    <mergeCell ref="D39:E39"/>
    <mergeCell ref="D44:E44"/>
    <mergeCell ref="D45:E45"/>
    <mergeCell ref="D41:E41"/>
  </mergeCells>
  <pageMargins left="0.7" right="0.7" top="0.75" bottom="0.75" header="0.3" footer="0.3"/>
  <pageSetup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23"/>
  <sheetViews>
    <sheetView workbookViewId="0">
      <selection activeCell="A22" sqref="A22"/>
    </sheetView>
  </sheetViews>
  <sheetFormatPr defaultRowHeight="15" x14ac:dyDescent="0.25"/>
  <cols>
    <col min="1" max="1" width="123.42578125" customWidth="1"/>
    <col min="2" max="12" width="9.140625" customWidth="1"/>
    <col min="13" max="13" width="3.5703125" customWidth="1"/>
  </cols>
  <sheetData>
    <row r="1" spans="1:1" ht="15.75" thickTop="1" x14ac:dyDescent="0.25">
      <c r="A1" s="112" t="s">
        <v>12</v>
      </c>
    </row>
    <row r="2" spans="1:1" x14ac:dyDescent="0.25">
      <c r="A2" s="75" t="s">
        <v>88</v>
      </c>
    </row>
    <row r="3" spans="1:1" x14ac:dyDescent="0.25">
      <c r="A3" s="75" t="s">
        <v>14</v>
      </c>
    </row>
    <row r="4" spans="1:1" x14ac:dyDescent="0.25">
      <c r="A4" s="76" t="s">
        <v>15</v>
      </c>
    </row>
    <row r="5" spans="1:1" x14ac:dyDescent="0.25">
      <c r="A5" s="76" t="s">
        <v>16</v>
      </c>
    </row>
    <row r="6" spans="1:1" x14ac:dyDescent="0.25">
      <c r="A6" s="76" t="s">
        <v>17</v>
      </c>
    </row>
    <row r="7" spans="1:1" x14ac:dyDescent="0.25">
      <c r="A7" s="76" t="s">
        <v>155</v>
      </c>
    </row>
    <row r="8" spans="1:1" x14ac:dyDescent="0.25">
      <c r="A8" s="76" t="s">
        <v>18</v>
      </c>
    </row>
    <row r="9" spans="1:1" x14ac:dyDescent="0.25">
      <c r="A9" s="76" t="s">
        <v>78</v>
      </c>
    </row>
    <row r="10" spans="1:1" x14ac:dyDescent="0.25">
      <c r="A10" s="74"/>
    </row>
    <row r="11" spans="1:1" x14ac:dyDescent="0.25">
      <c r="A11" s="77" t="s">
        <v>89</v>
      </c>
    </row>
    <row r="12" spans="1:1" x14ac:dyDescent="0.25">
      <c r="A12" s="77" t="s">
        <v>92</v>
      </c>
    </row>
    <row r="13" spans="1:1" s="34" customFormat="1" x14ac:dyDescent="0.25">
      <c r="A13" s="77" t="s">
        <v>93</v>
      </c>
    </row>
    <row r="14" spans="1:1" ht="30.75" customHeight="1" x14ac:dyDescent="0.25">
      <c r="A14" s="82" t="s">
        <v>156</v>
      </c>
    </row>
    <row r="15" spans="1:1" ht="45" x14ac:dyDescent="0.25">
      <c r="A15" s="82" t="s">
        <v>163</v>
      </c>
    </row>
    <row r="16" spans="1:1" ht="39" customHeight="1" x14ac:dyDescent="0.25">
      <c r="A16" s="83" t="s">
        <v>94</v>
      </c>
    </row>
    <row r="17" spans="1:1" ht="30" x14ac:dyDescent="0.25">
      <c r="A17" s="78" t="s">
        <v>20</v>
      </c>
    </row>
    <row r="18" spans="1:1" ht="30" x14ac:dyDescent="0.25">
      <c r="A18" s="78" t="s">
        <v>139</v>
      </c>
    </row>
    <row r="19" spans="1:1" x14ac:dyDescent="0.25">
      <c r="A19" s="79" t="s">
        <v>44</v>
      </c>
    </row>
    <row r="20" spans="1:1" x14ac:dyDescent="0.25">
      <c r="A20" s="74"/>
    </row>
    <row r="21" spans="1:1" x14ac:dyDescent="0.25">
      <c r="A21" s="80"/>
    </row>
    <row r="22" spans="1:1" ht="84.75" customHeight="1" thickBot="1" x14ac:dyDescent="0.3">
      <c r="A22" s="81" t="s">
        <v>167</v>
      </c>
    </row>
    <row r="23" spans="1:1" ht="15.75" thickTop="1" x14ac:dyDescent="0.25"/>
  </sheetData>
  <pageMargins left="0.7" right="0.7" top="0.75" bottom="0.75" header="0.3" footer="0.3"/>
  <pageSetup scale="9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AF103"/>
  <sheetViews>
    <sheetView topLeftCell="A58" zoomScale="140" zoomScaleNormal="140" workbookViewId="0">
      <selection activeCell="C70" sqref="C70"/>
    </sheetView>
  </sheetViews>
  <sheetFormatPr defaultRowHeight="15" x14ac:dyDescent="0.25"/>
  <cols>
    <col min="1" max="1" width="63.85546875" customWidth="1"/>
    <col min="2" max="2" width="50.28515625" customWidth="1"/>
    <col min="3" max="3" width="11.28515625" customWidth="1"/>
    <col min="5" max="6" width="12.28515625" customWidth="1"/>
    <col min="7" max="7" width="9.85546875" bestFit="1" customWidth="1"/>
    <col min="14" max="14" width="12" customWidth="1"/>
  </cols>
  <sheetData>
    <row r="1" spans="1:14" x14ac:dyDescent="0.25">
      <c r="A1" t="s">
        <v>67</v>
      </c>
      <c r="B1" s="42" t="s">
        <v>7</v>
      </c>
    </row>
    <row r="2" spans="1:14" x14ac:dyDescent="0.25">
      <c r="A2" s="55" t="s">
        <v>69</v>
      </c>
      <c r="B2" s="4"/>
    </row>
    <row r="3" spans="1:14" x14ac:dyDescent="0.25">
      <c r="A3" t="s">
        <v>63</v>
      </c>
      <c r="B3" s="44" t="s">
        <v>65</v>
      </c>
      <c r="C3" t="s">
        <v>61</v>
      </c>
    </row>
    <row r="4" spans="1:14" x14ac:dyDescent="0.25">
      <c r="A4" t="s">
        <v>34</v>
      </c>
      <c r="B4" s="2">
        <v>2800</v>
      </c>
      <c r="C4" t="s">
        <v>36</v>
      </c>
    </row>
    <row r="5" spans="1:14" x14ac:dyDescent="0.25">
      <c r="A5" t="s">
        <v>35</v>
      </c>
      <c r="B5" s="53">
        <f>IF(B3="LMI",B4*0.3, IF(B3="SBO",B4*0.51, "Requires Category in B3"))</f>
        <v>1428</v>
      </c>
      <c r="C5" t="s">
        <v>36</v>
      </c>
      <c r="L5" s="1"/>
    </row>
    <row r="7" spans="1:14" x14ac:dyDescent="0.25">
      <c r="A7" t="s">
        <v>40</v>
      </c>
      <c r="B7" s="3">
        <v>350</v>
      </c>
    </row>
    <row r="8" spans="1:14" x14ac:dyDescent="0.25">
      <c r="A8" t="s">
        <v>41</v>
      </c>
      <c r="B8" s="31">
        <v>30</v>
      </c>
      <c r="C8" t="s">
        <v>42</v>
      </c>
      <c r="N8" s="1"/>
    </row>
    <row r="9" spans="1:14" x14ac:dyDescent="0.25">
      <c r="A9" t="s">
        <v>0</v>
      </c>
      <c r="B9" s="2">
        <v>1428</v>
      </c>
      <c r="C9" t="str">
        <f>IF(B9&lt;B5,"too small","")</f>
        <v/>
      </c>
    </row>
    <row r="10" spans="1:14" x14ac:dyDescent="0.25">
      <c r="B10" s="17"/>
    </row>
    <row r="11" spans="1:14" x14ac:dyDescent="0.25">
      <c r="A11" t="s">
        <v>37</v>
      </c>
      <c r="B11" s="43">
        <v>0.02</v>
      </c>
      <c r="F11" s="9"/>
    </row>
    <row r="12" spans="1:14" x14ac:dyDescent="0.25">
      <c r="A12" t="s">
        <v>38</v>
      </c>
      <c r="B12" s="21">
        <v>2.9000000000000001E-2</v>
      </c>
      <c r="F12" s="9"/>
    </row>
    <row r="13" spans="1:14" x14ac:dyDescent="0.25">
      <c r="B13" s="20"/>
      <c r="F13" s="20"/>
    </row>
    <row r="14" spans="1:14" x14ac:dyDescent="0.25">
      <c r="A14" t="s">
        <v>1</v>
      </c>
      <c r="B14" s="21">
        <v>0.1</v>
      </c>
      <c r="F14" s="9"/>
    </row>
    <row r="15" spans="1:14" x14ac:dyDescent="0.25">
      <c r="C15" t="s">
        <v>13</v>
      </c>
      <c r="F15" s="9"/>
      <c r="G15" s="9"/>
      <c r="H15" s="9"/>
    </row>
    <row r="16" spans="1:14" x14ac:dyDescent="0.25">
      <c r="A16" t="s">
        <v>19</v>
      </c>
      <c r="B16" s="84">
        <f>IF(B9/B4&lt;=51%,-A23*A54, -0.51*B4*A22*A54)</f>
        <v>448877.66596753022</v>
      </c>
      <c r="C16" s="27">
        <f>B16/B9</f>
        <v>314.34010221815839</v>
      </c>
      <c r="F16" s="8"/>
      <c r="G16" s="27"/>
      <c r="H16" s="9"/>
    </row>
    <row r="17" spans="1:22" ht="15.75" thickBot="1" x14ac:dyDescent="0.3">
      <c r="A17" t="s">
        <v>43</v>
      </c>
      <c r="B17" s="85">
        <f>IF(B16&gt;0,B7*B8,0)</f>
        <v>10500</v>
      </c>
      <c r="C17" s="86">
        <f>B17/B9</f>
        <v>7.3529411764705879</v>
      </c>
      <c r="F17" s="30"/>
      <c r="G17" s="30" t="s">
        <v>82</v>
      </c>
      <c r="H17" s="9"/>
      <c r="N17" s="46"/>
    </row>
    <row r="18" spans="1:22" ht="16.5" thickTop="1" thickBot="1" x14ac:dyDescent="0.3">
      <c r="A18" t="s">
        <v>79</v>
      </c>
      <c r="B18" s="61">
        <f>IF(B16+B17&lt;=500000,B16+B17,500000)</f>
        <v>459377.66596753022</v>
      </c>
      <c r="C18" s="8">
        <f>C16+C17</f>
        <v>321.693043394629</v>
      </c>
      <c r="D18" s="27"/>
      <c r="F18" s="8"/>
      <c r="G18" s="87">
        <f>B16/(20*A23*C70)</f>
        <v>1.2436083391367914E-2</v>
      </c>
      <c r="H18" s="9" t="s">
        <v>81</v>
      </c>
    </row>
    <row r="19" spans="1:22" ht="16.5" thickTop="1" thickBot="1" x14ac:dyDescent="0.3">
      <c r="A19" t="s">
        <v>80</v>
      </c>
      <c r="B19" s="60">
        <f>-A23*A54</f>
        <v>448877.66596753022</v>
      </c>
      <c r="D19" s="25"/>
      <c r="E19" s="26"/>
      <c r="F19" s="26"/>
      <c r="G19" s="25"/>
      <c r="H19" s="26"/>
    </row>
    <row r="20" spans="1:22" ht="15.75" thickTop="1" x14ac:dyDescent="0.25">
      <c r="B20" s="8"/>
      <c r="D20" s="10"/>
    </row>
    <row r="21" spans="1:22" x14ac:dyDescent="0.25">
      <c r="A21" t="s">
        <v>2</v>
      </c>
      <c r="L21" s="11"/>
    </row>
    <row r="22" spans="1:22" x14ac:dyDescent="0.25">
      <c r="A22" s="2">
        <v>1347</v>
      </c>
      <c r="B22" t="s">
        <v>66</v>
      </c>
      <c r="L22" s="11"/>
    </row>
    <row r="23" spans="1:22" x14ac:dyDescent="0.25">
      <c r="A23" s="3">
        <f>A22*B9</f>
        <v>1923516</v>
      </c>
      <c r="B23" t="s">
        <v>47</v>
      </c>
    </row>
    <row r="29" spans="1:22" x14ac:dyDescent="0.25">
      <c r="G29" s="12"/>
    </row>
    <row r="30" spans="1:22" x14ac:dyDescent="0.25">
      <c r="A30" t="s">
        <v>10</v>
      </c>
      <c r="C30" t="s">
        <v>3</v>
      </c>
    </row>
    <row r="31" spans="1:22" x14ac:dyDescent="0.25">
      <c r="A31" t="s">
        <v>48</v>
      </c>
      <c r="C31" t="s">
        <v>4</v>
      </c>
    </row>
    <row r="32" spans="1:22" x14ac:dyDescent="0.25">
      <c r="A32" s="29" t="s">
        <v>11</v>
      </c>
      <c r="C32">
        <v>0</v>
      </c>
      <c r="D32">
        <f>C32+1</f>
        <v>1</v>
      </c>
      <c r="E32">
        <f t="shared" ref="E32:V32" si="0">D32+1</f>
        <v>2</v>
      </c>
      <c r="F32">
        <f t="shared" si="0"/>
        <v>3</v>
      </c>
      <c r="G32">
        <f t="shared" si="0"/>
        <v>4</v>
      </c>
      <c r="H32">
        <f t="shared" si="0"/>
        <v>5</v>
      </c>
      <c r="I32">
        <f t="shared" si="0"/>
        <v>6</v>
      </c>
      <c r="J32">
        <f t="shared" si="0"/>
        <v>7</v>
      </c>
      <c r="K32">
        <f>J32+1</f>
        <v>8</v>
      </c>
      <c r="L32">
        <f t="shared" si="0"/>
        <v>9</v>
      </c>
      <c r="M32">
        <f>L32+1</f>
        <v>10</v>
      </c>
      <c r="N32">
        <f t="shared" si="0"/>
        <v>11</v>
      </c>
      <c r="O32">
        <f t="shared" si="0"/>
        <v>12</v>
      </c>
      <c r="P32">
        <f t="shared" si="0"/>
        <v>13</v>
      </c>
      <c r="Q32">
        <f t="shared" si="0"/>
        <v>14</v>
      </c>
      <c r="R32">
        <f t="shared" si="0"/>
        <v>15</v>
      </c>
      <c r="S32">
        <f t="shared" si="0"/>
        <v>16</v>
      </c>
      <c r="T32">
        <f t="shared" si="0"/>
        <v>17</v>
      </c>
      <c r="U32">
        <f t="shared" si="0"/>
        <v>18</v>
      </c>
      <c r="V32">
        <f t="shared" si="0"/>
        <v>19</v>
      </c>
    </row>
    <row r="33" spans="1:22" x14ac:dyDescent="0.25">
      <c r="A33" s="5">
        <f>B11</f>
        <v>0.02</v>
      </c>
      <c r="B33" t="s">
        <v>5</v>
      </c>
      <c r="C33" s="14">
        <f>C47</f>
        <v>14</v>
      </c>
      <c r="D33" s="13">
        <f>$C33*(1+$A33)^D$32</f>
        <v>14.280000000000001</v>
      </c>
      <c r="E33" s="13">
        <f t="shared" ref="E33:V34" si="1">$C33*(1+$A33)^E$32</f>
        <v>14.5656</v>
      </c>
      <c r="F33" s="13">
        <f t="shared" si="1"/>
        <v>14.856911999999999</v>
      </c>
      <c r="G33" s="13">
        <f t="shared" si="1"/>
        <v>15.15405024</v>
      </c>
      <c r="H33" s="13">
        <f t="shared" si="1"/>
        <v>15.457131244799999</v>
      </c>
      <c r="I33" s="13">
        <f t="shared" si="1"/>
        <v>15.766273869696001</v>
      </c>
      <c r="J33" s="13">
        <f t="shared" si="1"/>
        <v>16.081599347089917</v>
      </c>
      <c r="K33" s="13">
        <f>$C33*(1+$A33)^K$32</f>
        <v>16.403231334031716</v>
      </c>
      <c r="L33" s="13">
        <f>$C33*(1+$A33)^L$32</f>
        <v>16.731295960712352</v>
      </c>
      <c r="M33" s="13">
        <f t="shared" si="1"/>
        <v>17.065921879926599</v>
      </c>
      <c r="N33" s="13">
        <f t="shared" si="1"/>
        <v>17.40724031752513</v>
      </c>
      <c r="O33" s="13">
        <f t="shared" si="1"/>
        <v>17.755385123875634</v>
      </c>
      <c r="P33" s="13">
        <f t="shared" si="1"/>
        <v>18.110492826353145</v>
      </c>
      <c r="Q33" s="13">
        <f t="shared" si="1"/>
        <v>18.472702682880211</v>
      </c>
      <c r="R33" s="13">
        <f t="shared" si="1"/>
        <v>18.84215673653781</v>
      </c>
      <c r="S33" s="13">
        <f t="shared" si="1"/>
        <v>19.218999871268569</v>
      </c>
      <c r="T33" s="13">
        <f t="shared" si="1"/>
        <v>19.603379868693942</v>
      </c>
      <c r="U33" s="13">
        <f t="shared" si="1"/>
        <v>19.995447466067819</v>
      </c>
      <c r="V33" s="13">
        <f t="shared" si="1"/>
        <v>20.395356415389173</v>
      </c>
    </row>
    <row r="34" spans="1:22" x14ac:dyDescent="0.25">
      <c r="A34" s="5">
        <f>B12</f>
        <v>2.9000000000000001E-2</v>
      </c>
      <c r="B34" t="s">
        <v>6</v>
      </c>
      <c r="C34" s="14">
        <f>C33*(0.85)</f>
        <v>11.9</v>
      </c>
      <c r="D34" s="13">
        <f>$C34*(1+$A34)^D$32</f>
        <v>12.245099999999999</v>
      </c>
      <c r="E34" s="13">
        <f t="shared" si="1"/>
        <v>12.600207899999999</v>
      </c>
      <c r="F34" s="13">
        <f t="shared" si="1"/>
        <v>12.965613929099998</v>
      </c>
      <c r="G34" s="13">
        <f t="shared" si="1"/>
        <v>13.341616733043898</v>
      </c>
      <c r="H34" s="13">
        <f t="shared" si="1"/>
        <v>13.728523618302169</v>
      </c>
      <c r="I34" s="13">
        <f t="shared" si="1"/>
        <v>14.126650803232932</v>
      </c>
      <c r="J34" s="13">
        <f t="shared" si="1"/>
        <v>14.536323676526688</v>
      </c>
      <c r="K34" s="13">
        <f>$C34*(1+$A34)^K$32</f>
        <v>14.957877063145961</v>
      </c>
      <c r="L34" s="13">
        <f>$C34*(1+$A34)^L$32</f>
        <v>15.391655497977192</v>
      </c>
      <c r="M34" s="13">
        <f t="shared" si="1"/>
        <v>15.838013507418532</v>
      </c>
      <c r="N34" s="13">
        <f t="shared" si="1"/>
        <v>16.297315899133668</v>
      </c>
      <c r="O34" s="13">
        <f t="shared" si="1"/>
        <v>16.769938060208542</v>
      </c>
      <c r="P34" s="13">
        <f t="shared" si="1"/>
        <v>17.25626626395459</v>
      </c>
      <c r="Q34" s="13">
        <f t="shared" si="1"/>
        <v>17.756697985609271</v>
      </c>
      <c r="R34" s="13">
        <f t="shared" si="1"/>
        <v>18.271642227191943</v>
      </c>
      <c r="S34" s="13">
        <f t="shared" si="1"/>
        <v>18.801519851780508</v>
      </c>
      <c r="T34" s="13">
        <f t="shared" si="1"/>
        <v>19.34676392748214</v>
      </c>
      <c r="U34" s="13">
        <f t="shared" si="1"/>
        <v>19.907820081379121</v>
      </c>
      <c r="V34" s="13">
        <f t="shared" si="1"/>
        <v>20.485146863739114</v>
      </c>
    </row>
    <row r="36" spans="1:22" x14ac:dyDescent="0.25">
      <c r="A36" s="13">
        <f>SUM(C36:V36)</f>
        <v>-23.63848329562175</v>
      </c>
      <c r="B36" s="13" t="s">
        <v>9</v>
      </c>
      <c r="C36" s="13">
        <f>C34-C33</f>
        <v>-2.0999999999999996</v>
      </c>
      <c r="D36" s="13">
        <f>D34-D33</f>
        <v>-2.0349000000000022</v>
      </c>
      <c r="E36" s="13">
        <f t="shared" ref="E36:V36" si="2">E34-E33</f>
        <v>-1.9653921000000008</v>
      </c>
      <c r="F36" s="13">
        <f t="shared" si="2"/>
        <v>-1.8912980709000013</v>
      </c>
      <c r="G36" s="13">
        <f t="shared" si="2"/>
        <v>-1.8124335069561024</v>
      </c>
      <c r="H36" s="13">
        <f t="shared" si="2"/>
        <v>-1.7286076264978298</v>
      </c>
      <c r="I36" s="13">
        <f t="shared" si="2"/>
        <v>-1.6396230664630682</v>
      </c>
      <c r="J36" s="13">
        <f t="shared" si="2"/>
        <v>-1.5452756705632282</v>
      </c>
      <c r="K36" s="13">
        <f t="shared" si="2"/>
        <v>-1.4453542708857547</v>
      </c>
      <c r="L36" s="13">
        <f t="shared" si="2"/>
        <v>-1.3396404627351597</v>
      </c>
      <c r="M36" s="13">
        <f t="shared" si="2"/>
        <v>-1.2279083725080664</v>
      </c>
      <c r="N36" s="13">
        <f t="shared" si="2"/>
        <v>-1.1099244183914614</v>
      </c>
      <c r="O36" s="13">
        <f t="shared" si="2"/>
        <v>-0.98544706366709178</v>
      </c>
      <c r="P36" s="13">
        <f t="shared" si="2"/>
        <v>-0.85422656239855499</v>
      </c>
      <c r="Q36" s="13">
        <f t="shared" si="2"/>
        <v>-0.71600469727093952</v>
      </c>
      <c r="R36" s="13">
        <f t="shared" si="2"/>
        <v>-0.57051450934586612</v>
      </c>
      <c r="S36" s="13">
        <f t="shared" si="2"/>
        <v>-0.41748001948806035</v>
      </c>
      <c r="T36" s="13">
        <f t="shared" si="2"/>
        <v>-0.25661594121180187</v>
      </c>
      <c r="U36" s="13">
        <f t="shared" si="2"/>
        <v>-8.7627384688698129E-2</v>
      </c>
      <c r="V36" s="13">
        <f t="shared" si="2"/>
        <v>8.9790448349940988E-2</v>
      </c>
    </row>
    <row r="37" spans="1:22" x14ac:dyDescent="0.25">
      <c r="A37" s="22">
        <f>C37</f>
        <v>0.1</v>
      </c>
      <c r="B37" t="s">
        <v>8</v>
      </c>
      <c r="C37" s="23">
        <f>B14</f>
        <v>0.1</v>
      </c>
    </row>
    <row r="38" spans="1:22" x14ac:dyDescent="0.25">
      <c r="A38" s="18">
        <f>(C36+NPV(A37,D36:V36))</f>
        <v>-14.159002564019108</v>
      </c>
      <c r="B38" t="s">
        <v>158</v>
      </c>
    </row>
    <row r="39" spans="1:22" x14ac:dyDescent="0.25">
      <c r="A39" s="15"/>
    </row>
    <row r="40" spans="1:22" x14ac:dyDescent="0.25">
      <c r="A40" s="15"/>
    </row>
    <row r="44" spans="1:22" x14ac:dyDescent="0.25">
      <c r="A44" t="s">
        <v>7</v>
      </c>
      <c r="C44" t="s">
        <v>3</v>
      </c>
    </row>
    <row r="45" spans="1:22" x14ac:dyDescent="0.25">
      <c r="C45" t="s">
        <v>4</v>
      </c>
    </row>
    <row r="46" spans="1:22" x14ac:dyDescent="0.25">
      <c r="A46" s="28" t="s">
        <v>11</v>
      </c>
      <c r="C46">
        <v>0</v>
      </c>
      <c r="D46">
        <f>C46+1</f>
        <v>1</v>
      </c>
      <c r="E46">
        <f t="shared" ref="E46:V46" si="3">D46+1</f>
        <v>2</v>
      </c>
      <c r="F46">
        <f t="shared" si="3"/>
        <v>3</v>
      </c>
      <c r="G46">
        <f t="shared" si="3"/>
        <v>4</v>
      </c>
      <c r="H46">
        <f t="shared" si="3"/>
        <v>5</v>
      </c>
      <c r="I46">
        <f t="shared" si="3"/>
        <v>6</v>
      </c>
      <c r="J46">
        <f t="shared" si="3"/>
        <v>7</v>
      </c>
      <c r="K46">
        <f>J46+1</f>
        <v>8</v>
      </c>
      <c r="L46">
        <f t="shared" si="3"/>
        <v>9</v>
      </c>
      <c r="M46">
        <f>L46+1</f>
        <v>10</v>
      </c>
      <c r="N46">
        <f t="shared" si="3"/>
        <v>11</v>
      </c>
      <c r="O46">
        <f t="shared" si="3"/>
        <v>12</v>
      </c>
      <c r="P46">
        <f t="shared" si="3"/>
        <v>13</v>
      </c>
      <c r="Q46">
        <f t="shared" si="3"/>
        <v>14</v>
      </c>
      <c r="R46">
        <f t="shared" si="3"/>
        <v>15</v>
      </c>
      <c r="S46">
        <f t="shared" si="3"/>
        <v>16</v>
      </c>
      <c r="T46">
        <f t="shared" si="3"/>
        <v>17</v>
      </c>
      <c r="U46">
        <f t="shared" si="3"/>
        <v>18</v>
      </c>
      <c r="V46">
        <f t="shared" si="3"/>
        <v>19</v>
      </c>
    </row>
    <row r="47" spans="1:22" x14ac:dyDescent="0.25">
      <c r="A47" s="5">
        <f>B11</f>
        <v>0.02</v>
      </c>
      <c r="B47" t="s">
        <v>5</v>
      </c>
      <c r="C47" s="4">
        <v>14</v>
      </c>
      <c r="D47" s="13">
        <f>$C47*(1+$A47)^D$32</f>
        <v>14.280000000000001</v>
      </c>
      <c r="E47" s="13">
        <f t="shared" ref="E47:V48" si="4">$C47*(1+$A47)^E$32</f>
        <v>14.5656</v>
      </c>
      <c r="F47" s="13">
        <f t="shared" si="4"/>
        <v>14.856911999999999</v>
      </c>
      <c r="G47" s="13">
        <f t="shared" si="4"/>
        <v>15.15405024</v>
      </c>
      <c r="H47" s="13">
        <f t="shared" si="4"/>
        <v>15.457131244799999</v>
      </c>
      <c r="I47" s="13">
        <f t="shared" si="4"/>
        <v>15.766273869696001</v>
      </c>
      <c r="J47" s="13">
        <f t="shared" si="4"/>
        <v>16.081599347089917</v>
      </c>
      <c r="K47" s="13">
        <f>$C47*(1+$A47)^K$32</f>
        <v>16.403231334031716</v>
      </c>
      <c r="L47" s="13">
        <f>$C47*(1+$A47)^L$32</f>
        <v>16.731295960712352</v>
      </c>
      <c r="M47" s="13">
        <f t="shared" si="4"/>
        <v>17.065921879926599</v>
      </c>
      <c r="N47" s="13">
        <f t="shared" si="4"/>
        <v>17.40724031752513</v>
      </c>
      <c r="O47" s="13">
        <f t="shared" si="4"/>
        <v>17.755385123875634</v>
      </c>
      <c r="P47" s="13">
        <f t="shared" si="4"/>
        <v>18.110492826353145</v>
      </c>
      <c r="Q47" s="13">
        <f t="shared" si="4"/>
        <v>18.472702682880211</v>
      </c>
      <c r="R47" s="13">
        <f t="shared" si="4"/>
        <v>18.84215673653781</v>
      </c>
      <c r="S47" s="13">
        <f t="shared" si="4"/>
        <v>19.218999871268569</v>
      </c>
      <c r="T47" s="13">
        <f t="shared" si="4"/>
        <v>19.603379868693942</v>
      </c>
      <c r="U47" s="13">
        <f t="shared" si="4"/>
        <v>19.995447466067819</v>
      </c>
      <c r="V47" s="13">
        <f t="shared" si="4"/>
        <v>20.395356415389173</v>
      </c>
    </row>
    <row r="48" spans="1:22" x14ac:dyDescent="0.25">
      <c r="A48" s="6">
        <v>0.02</v>
      </c>
      <c r="B48" t="s">
        <v>77</v>
      </c>
      <c r="C48" s="14">
        <f>(1-A50)*C47</f>
        <v>10.5</v>
      </c>
      <c r="D48" s="13">
        <f>$C48*(1+$A48)^D$32</f>
        <v>10.71</v>
      </c>
      <c r="E48" s="13">
        <f>$C48*(1+$A48)^E$32</f>
        <v>10.924199999999999</v>
      </c>
      <c r="F48" s="13">
        <f t="shared" si="4"/>
        <v>11.142683999999999</v>
      </c>
      <c r="G48" s="13">
        <f t="shared" si="4"/>
        <v>11.365537679999999</v>
      </c>
      <c r="H48" s="13">
        <f t="shared" si="4"/>
        <v>11.5928484336</v>
      </c>
      <c r="I48" s="13">
        <f t="shared" si="4"/>
        <v>11.824705402272</v>
      </c>
      <c r="J48" s="13">
        <f t="shared" si="4"/>
        <v>12.061199510317438</v>
      </c>
      <c r="K48" s="13">
        <f>$C48*(1+$A48)^K$32</f>
        <v>12.302423500523789</v>
      </c>
      <c r="L48" s="13">
        <f>$C48*(1+$A48)^L$32</f>
        <v>12.548471970534264</v>
      </c>
      <c r="M48" s="13">
        <f t="shared" si="4"/>
        <v>12.799441409944949</v>
      </c>
      <c r="N48" s="13">
        <f t="shared" si="4"/>
        <v>13.055430238143845</v>
      </c>
      <c r="O48" s="13">
        <f t="shared" si="4"/>
        <v>13.316538842906725</v>
      </c>
      <c r="P48" s="13">
        <f t="shared" si="4"/>
        <v>13.582869619764859</v>
      </c>
      <c r="Q48" s="13">
        <f t="shared" si="4"/>
        <v>13.854527012160158</v>
      </c>
      <c r="R48" s="13">
        <f t="shared" si="4"/>
        <v>14.131617552403357</v>
      </c>
      <c r="S48" s="13">
        <f t="shared" si="4"/>
        <v>14.414249903451427</v>
      </c>
      <c r="T48" s="13">
        <f t="shared" si="4"/>
        <v>14.702534901520457</v>
      </c>
      <c r="U48" s="13">
        <f t="shared" si="4"/>
        <v>14.996585599550864</v>
      </c>
      <c r="V48" s="13">
        <f t="shared" si="4"/>
        <v>15.29651731154188</v>
      </c>
    </row>
    <row r="49" spans="1:22" x14ac:dyDescent="0.25">
      <c r="A49" s="16"/>
      <c r="C49" s="14"/>
      <c r="D49" s="13"/>
      <c r="E49" s="13"/>
      <c r="F49" s="13"/>
      <c r="G49" s="13"/>
      <c r="H49" s="13"/>
      <c r="I49" s="13"/>
      <c r="J49" s="13"/>
      <c r="K49" s="13"/>
      <c r="L49" s="13"/>
      <c r="M49" s="13"/>
      <c r="N49" s="13"/>
      <c r="O49" s="13"/>
      <c r="P49" s="13"/>
      <c r="Q49" s="13"/>
      <c r="R49" s="13"/>
      <c r="S49" s="13"/>
      <c r="T49" s="13"/>
      <c r="U49" s="13"/>
      <c r="V49" s="13"/>
    </row>
    <row r="50" spans="1:22" x14ac:dyDescent="0.25">
      <c r="A50" s="7">
        <v>0.25</v>
      </c>
      <c r="B50" t="s">
        <v>39</v>
      </c>
      <c r="C50" s="19"/>
    </row>
    <row r="51" spans="1:22" x14ac:dyDescent="0.25">
      <c r="A51" s="13">
        <f>SUM(C51:V51)</f>
        <v>-85.040794296212013</v>
      </c>
      <c r="B51" s="13" t="s">
        <v>9</v>
      </c>
      <c r="C51" s="13">
        <f>C48-C47</f>
        <v>-3.5</v>
      </c>
      <c r="D51" s="13">
        <f>D48-D47</f>
        <v>-3.5700000000000003</v>
      </c>
      <c r="E51" s="13">
        <f t="shared" ref="E51:V51" si="5">E48-E47</f>
        <v>-3.6414000000000009</v>
      </c>
      <c r="F51" s="13">
        <f t="shared" si="5"/>
        <v>-3.7142280000000003</v>
      </c>
      <c r="G51" s="13">
        <f t="shared" si="5"/>
        <v>-3.7885125600000009</v>
      </c>
      <c r="H51" s="13">
        <f t="shared" si="5"/>
        <v>-3.8642828111999989</v>
      </c>
      <c r="I51" s="13">
        <f t="shared" si="5"/>
        <v>-3.9415684674240001</v>
      </c>
      <c r="J51" s="13">
        <f t="shared" si="5"/>
        <v>-4.0203998367724783</v>
      </c>
      <c r="K51" s="13">
        <f t="shared" si="5"/>
        <v>-4.1008078335079272</v>
      </c>
      <c r="L51" s="13">
        <f t="shared" si="5"/>
        <v>-4.1828239901780879</v>
      </c>
      <c r="M51" s="13">
        <f t="shared" si="5"/>
        <v>-4.2664804699816496</v>
      </c>
      <c r="N51" s="13">
        <f t="shared" si="5"/>
        <v>-4.3518100793812842</v>
      </c>
      <c r="O51" s="13">
        <f t="shared" si="5"/>
        <v>-4.4388462809689084</v>
      </c>
      <c r="P51" s="13">
        <f t="shared" si="5"/>
        <v>-4.5276232065882862</v>
      </c>
      <c r="Q51" s="13">
        <f t="shared" si="5"/>
        <v>-4.6181756707200528</v>
      </c>
      <c r="R51" s="13">
        <f t="shared" si="5"/>
        <v>-4.7105391841344524</v>
      </c>
      <c r="S51" s="13">
        <f t="shared" si="5"/>
        <v>-4.8047499678171413</v>
      </c>
      <c r="T51" s="13">
        <f t="shared" si="5"/>
        <v>-4.9008449671734855</v>
      </c>
      <c r="U51" s="13">
        <f t="shared" si="5"/>
        <v>-4.9988618665169557</v>
      </c>
      <c r="V51" s="13">
        <f t="shared" si="5"/>
        <v>-5.0988391038472933</v>
      </c>
    </row>
    <row r="52" spans="1:22" x14ac:dyDescent="0.25">
      <c r="A52" s="22">
        <f>A37</f>
        <v>0.1</v>
      </c>
      <c r="B52" t="s">
        <v>8</v>
      </c>
      <c r="C52" s="23">
        <f>B14</f>
        <v>0.1</v>
      </c>
    </row>
    <row r="53" spans="1:22" x14ac:dyDescent="0.25">
      <c r="A53" s="18">
        <f>C51+NPV(A52,D51:V51)</f>
        <v>-37.495313047920995</v>
      </c>
      <c r="B53" t="s">
        <v>157</v>
      </c>
    </row>
    <row r="54" spans="1:22" x14ac:dyDescent="0.25">
      <c r="A54" s="24">
        <f>(A53-A38)/100</f>
        <v>-0.23336310483901887</v>
      </c>
      <c r="B54" t="s">
        <v>159</v>
      </c>
      <c r="G54" s="10"/>
    </row>
    <row r="55" spans="1:22" s="34" customFormat="1" x14ac:dyDescent="0.25">
      <c r="A55" s="62"/>
      <c r="G55" s="10"/>
    </row>
    <row r="56" spans="1:22" s="34" customFormat="1" ht="31.5" customHeight="1" x14ac:dyDescent="0.25">
      <c r="A56" s="63" t="str">
        <f>"Is it your intention to remain " &amp; A50*100 &amp; " percent below the utility CSEGS rate for the entire 20 years of this grant?  (YES or NO)"</f>
        <v>Is it your intention to remain 25 percent below the utility CSEGS rate for the entire 20 years of this grant?  (YES or NO)</v>
      </c>
      <c r="B56" s="4"/>
      <c r="G56" s="10"/>
    </row>
    <row r="57" spans="1:22" x14ac:dyDescent="0.25">
      <c r="A57" s="15"/>
      <c r="G57" s="10"/>
    </row>
    <row r="58" spans="1:22" x14ac:dyDescent="0.25">
      <c r="A58" t="s">
        <v>153</v>
      </c>
    </row>
    <row r="59" spans="1:22" x14ac:dyDescent="0.25">
      <c r="A59" t="s">
        <v>154</v>
      </c>
    </row>
    <row r="69" spans="2:32" x14ac:dyDescent="0.25">
      <c r="C69">
        <v>1</v>
      </c>
      <c r="D69">
        <v>0.98</v>
      </c>
      <c r="E69">
        <f>D69-0.005</f>
        <v>0.97499999999999998</v>
      </c>
      <c r="F69" s="34">
        <f t="shared" ref="F69:V69" si="6">E69-0.005</f>
        <v>0.97</v>
      </c>
      <c r="G69" s="34">
        <f t="shared" si="6"/>
        <v>0.96499999999999997</v>
      </c>
      <c r="H69" s="34">
        <f t="shared" si="6"/>
        <v>0.96</v>
      </c>
      <c r="I69" s="34">
        <f t="shared" si="6"/>
        <v>0.95499999999999996</v>
      </c>
      <c r="J69" s="34">
        <f t="shared" si="6"/>
        <v>0.95</v>
      </c>
      <c r="K69" s="34">
        <f t="shared" si="6"/>
        <v>0.94499999999999995</v>
      </c>
      <c r="L69" s="34">
        <f t="shared" si="6"/>
        <v>0.94</v>
      </c>
      <c r="M69" s="34">
        <f t="shared" si="6"/>
        <v>0.93499999999999994</v>
      </c>
      <c r="N69" s="34">
        <f t="shared" si="6"/>
        <v>0.92999999999999994</v>
      </c>
      <c r="O69" s="34">
        <f t="shared" si="6"/>
        <v>0.92499999999999993</v>
      </c>
      <c r="P69" s="34">
        <f t="shared" si="6"/>
        <v>0.91999999999999993</v>
      </c>
      <c r="Q69" s="34">
        <f t="shared" si="6"/>
        <v>0.91499999999999992</v>
      </c>
      <c r="R69" s="34">
        <f t="shared" si="6"/>
        <v>0.90999999999999992</v>
      </c>
      <c r="S69" s="34">
        <f t="shared" si="6"/>
        <v>0.90499999999999992</v>
      </c>
      <c r="T69" s="34">
        <f t="shared" si="6"/>
        <v>0.89999999999999991</v>
      </c>
      <c r="U69" s="34">
        <f t="shared" si="6"/>
        <v>0.89499999999999991</v>
      </c>
      <c r="V69" s="34">
        <f t="shared" si="6"/>
        <v>0.8899999999999999</v>
      </c>
      <c r="W69" s="34"/>
      <c r="X69" s="34"/>
      <c r="Y69" s="34"/>
      <c r="Z69" s="34"/>
      <c r="AA69" s="34"/>
      <c r="AB69" s="34"/>
      <c r="AC69" s="34"/>
      <c r="AD69" s="34"/>
      <c r="AE69" s="34"/>
      <c r="AF69" s="34"/>
    </row>
    <row r="70" spans="2:32" x14ac:dyDescent="0.25">
      <c r="C70">
        <f>SUM(C69:V69)/20</f>
        <v>0.93824999999999981</v>
      </c>
    </row>
    <row r="80" spans="2:32" x14ac:dyDescent="0.25">
      <c r="B80" t="s">
        <v>90</v>
      </c>
    </row>
    <row r="81" spans="2:2" x14ac:dyDescent="0.25">
      <c r="B81" t="s">
        <v>91</v>
      </c>
    </row>
    <row r="102" spans="2:2" x14ac:dyDescent="0.25">
      <c r="B102" t="s">
        <v>64</v>
      </c>
    </row>
    <row r="103" spans="2:2" x14ac:dyDescent="0.25">
      <c r="B103" t="s">
        <v>65</v>
      </c>
    </row>
  </sheetData>
  <protectedRanges>
    <protectedRange sqref="C48:V48" name="Outyear PPA Rates"/>
    <protectedRange sqref="A7" name="Number of LMI Subscribers"/>
    <protectedRange sqref="A22" name="kWh ac per kW dc"/>
    <protectedRange sqref="A50" name="Zero Year Rate Below Utility Rate"/>
    <protectedRange sqref="A48" name="PPA Escalation  Rate"/>
    <protectedRange sqref="C47" name="Utility Rate"/>
    <protectedRange sqref="B4" name="Array Capacity   DC"/>
  </protectedRanges>
  <dataValidations xWindow="354" yWindow="852" count="4">
    <dataValidation allowBlank="1" showInputMessage="1" showErrorMessage="1" promptTitle="Total Array Capacity" prompt="This is the total number of DC watts going into the inverter(s).  I used a PVWATTS DC to AC ratio of 1.2 when calculating small and medium sized roof mounted system outputs, and a PVWATTS DC to AC ratio of 1.4 for large ground mounted systems " sqref="B4" xr:uid="{00000000-0002-0000-0200-000000000000}"/>
    <dataValidation allowBlank="1" showInputMessage="1" showErrorMessage="1" promptTitle="PROVIDE FROM PVWATTS OR PVSYST" prompt="Reasonable values for kWh-ac/kW-dc_x000a_Use 1230 if flat roof_x000a_Use 1390 if pitched roof (about 30 degrees)_x000a_Use 1400 if ground mounted fixed axis_x000a_Use 1650 if single axis tracking" sqref="A22" xr:uid="{00000000-0002-0000-0200-000001000000}"/>
    <dataValidation type="list" allowBlank="1" showInputMessage="1" showErrorMessage="1" sqref="B3" xr:uid="{00000000-0002-0000-0200-000003000000}">
      <formula1>$B$102:$B$104</formula1>
    </dataValidation>
    <dataValidation type="list" allowBlank="1" showInputMessage="1" showErrorMessage="1" prompt="YES or NO" sqref="B56" xr:uid="{FF589292-0235-421B-8FFE-04FF2B5EC7AD}">
      <formula1>$B$80:$B$81</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D1E7E-1A24-4016-BF21-AE7110B3F94B}">
  <sheetPr>
    <tabColor rgb="FFFFC000"/>
  </sheetPr>
  <dimension ref="B2:S20"/>
  <sheetViews>
    <sheetView workbookViewId="0">
      <selection activeCell="G23" sqref="G23"/>
    </sheetView>
  </sheetViews>
  <sheetFormatPr defaultRowHeight="15" x14ac:dyDescent="0.25"/>
  <cols>
    <col min="3" max="3" width="12.28515625" customWidth="1"/>
  </cols>
  <sheetData>
    <row r="2" spans="2:19" ht="120" x14ac:dyDescent="0.25">
      <c r="B2" s="45"/>
      <c r="C2" s="64" t="s">
        <v>95</v>
      </c>
      <c r="D2" s="65" t="s">
        <v>96</v>
      </c>
      <c r="E2" s="45"/>
      <c r="F2" s="45" t="s">
        <v>97</v>
      </c>
      <c r="G2" s="45" t="s">
        <v>98</v>
      </c>
      <c r="H2" s="45" t="s">
        <v>99</v>
      </c>
      <c r="I2" s="45"/>
      <c r="J2" s="45" t="s">
        <v>100</v>
      </c>
      <c r="K2" s="45" t="s">
        <v>101</v>
      </c>
      <c r="L2" s="45" t="s">
        <v>102</v>
      </c>
      <c r="M2" s="45" t="s">
        <v>103</v>
      </c>
      <c r="N2" s="45" t="s">
        <v>104</v>
      </c>
      <c r="O2" s="45" t="s">
        <v>105</v>
      </c>
      <c r="P2" s="66" t="s">
        <v>106</v>
      </c>
      <c r="Q2" s="45" t="s">
        <v>107</v>
      </c>
      <c r="R2" s="67" t="s">
        <v>108</v>
      </c>
      <c r="S2" s="67" t="s">
        <v>109</v>
      </c>
    </row>
    <row r="3" spans="2:19" x14ac:dyDescent="0.25">
      <c r="B3" s="34" t="s">
        <v>110</v>
      </c>
      <c r="C3" s="4">
        <v>200</v>
      </c>
      <c r="D3" s="1">
        <f>C3/SUM($C$3:$C$14)</f>
        <v>4.8145205941118423E-2</v>
      </c>
      <c r="E3" s="34"/>
      <c r="F3" s="4">
        <v>6.1350000000000002E-2</v>
      </c>
      <c r="G3" s="4">
        <v>3.96E-3</v>
      </c>
      <c r="H3" s="4">
        <v>3.0300000000000001E-3</v>
      </c>
      <c r="I3" s="34"/>
      <c r="J3" s="4">
        <v>1.796E-2</v>
      </c>
      <c r="K3" s="4">
        <v>-1.82E-3</v>
      </c>
      <c r="L3" s="4">
        <v>1.47E-4</v>
      </c>
      <c r="M3" s="4">
        <v>7.1700000000000002E-3</v>
      </c>
      <c r="N3" s="4">
        <v>6.2E-4</v>
      </c>
      <c r="O3" s="4">
        <v>5.9999999999999995E-4</v>
      </c>
      <c r="P3" s="4">
        <v>1.242E-2</v>
      </c>
      <c r="Q3" s="34">
        <v>0</v>
      </c>
      <c r="R3" s="34">
        <f t="shared" ref="R3:R14" si="0">SUM(F3:Q3)</f>
        <v>0.105437</v>
      </c>
      <c r="S3" s="34">
        <f t="shared" ref="S3:S14" si="1">R3*D3</f>
        <v>5.0762860788137031E-3</v>
      </c>
    </row>
    <row r="4" spans="2:19" x14ac:dyDescent="0.25">
      <c r="B4" s="34" t="s">
        <v>111</v>
      </c>
      <c r="C4" s="4">
        <v>229.2</v>
      </c>
      <c r="D4" s="1">
        <f t="shared" ref="D4:D14" si="2">C4/SUM($C$3:$C$14)</f>
        <v>5.5174406008521706E-2</v>
      </c>
      <c r="E4" s="34"/>
      <c r="F4" s="4">
        <v>6.1350000000000002E-2</v>
      </c>
      <c r="G4" s="4">
        <v>3.96E-3</v>
      </c>
      <c r="H4" s="4">
        <v>3.0300000000000001E-3</v>
      </c>
      <c r="I4" s="34"/>
      <c r="J4" s="4">
        <v>1.796E-2</v>
      </c>
      <c r="K4" s="4">
        <v>-1.82E-3</v>
      </c>
      <c r="L4" s="4">
        <v>1.47E-4</v>
      </c>
      <c r="M4" s="4">
        <v>7.1700000000000002E-3</v>
      </c>
      <c r="N4" s="4">
        <v>6.2E-4</v>
      </c>
      <c r="O4" s="4">
        <v>5.9999999999999995E-4</v>
      </c>
      <c r="P4" s="4">
        <v>1.242E-2</v>
      </c>
      <c r="Q4" s="34">
        <v>0</v>
      </c>
      <c r="R4" s="34">
        <f t="shared" si="0"/>
        <v>0.105437</v>
      </c>
      <c r="S4" s="34">
        <f t="shared" si="1"/>
        <v>5.8174238463205036E-3</v>
      </c>
    </row>
    <row r="5" spans="2:19" x14ac:dyDescent="0.25">
      <c r="B5" s="34" t="s">
        <v>112</v>
      </c>
      <c r="C5" s="4">
        <v>354.4</v>
      </c>
      <c r="D5" s="1">
        <f t="shared" si="2"/>
        <v>8.5313304927661829E-2</v>
      </c>
      <c r="E5" s="34"/>
      <c r="F5" s="4">
        <v>6.1350000000000002E-2</v>
      </c>
      <c r="G5" s="4">
        <v>3.96E-3</v>
      </c>
      <c r="H5" s="4">
        <v>3.0300000000000001E-3</v>
      </c>
      <c r="I5" s="34"/>
      <c r="J5" s="4">
        <v>1.796E-2</v>
      </c>
      <c r="K5" s="4">
        <v>-1.82E-3</v>
      </c>
      <c r="L5" s="4">
        <v>1.47E-4</v>
      </c>
      <c r="M5" s="4">
        <v>7.1700000000000002E-3</v>
      </c>
      <c r="N5" s="4">
        <v>6.2E-4</v>
      </c>
      <c r="O5" s="4">
        <v>5.9999999999999995E-4</v>
      </c>
      <c r="P5" s="4">
        <v>1.242E-2</v>
      </c>
      <c r="Q5" s="34">
        <v>0</v>
      </c>
      <c r="R5" s="34">
        <f t="shared" si="0"/>
        <v>0.105437</v>
      </c>
      <c r="S5" s="34">
        <f t="shared" si="1"/>
        <v>8.9951789316578806E-3</v>
      </c>
    </row>
    <row r="6" spans="2:19" x14ac:dyDescent="0.25">
      <c r="B6" s="34" t="s">
        <v>113</v>
      </c>
      <c r="C6" s="4">
        <v>399.7</v>
      </c>
      <c r="D6" s="1">
        <f t="shared" si="2"/>
        <v>9.6218194073325158E-2</v>
      </c>
      <c r="E6" s="34"/>
      <c r="F6" s="4">
        <v>6.1350000000000002E-2</v>
      </c>
      <c r="G6" s="4">
        <v>3.96E-3</v>
      </c>
      <c r="H6" s="4">
        <v>3.0300000000000001E-3</v>
      </c>
      <c r="I6" s="34"/>
      <c r="J6" s="4">
        <v>1.796E-2</v>
      </c>
      <c r="K6" s="4">
        <v>-1.82E-3</v>
      </c>
      <c r="L6" s="4">
        <v>1.47E-4</v>
      </c>
      <c r="M6" s="4">
        <v>7.1700000000000002E-3</v>
      </c>
      <c r="N6" s="4">
        <v>6.2E-4</v>
      </c>
      <c r="O6" s="4">
        <v>5.9999999999999995E-4</v>
      </c>
      <c r="P6" s="4">
        <v>1.242E-2</v>
      </c>
      <c r="Q6" s="34">
        <v>0</v>
      </c>
      <c r="R6" s="34">
        <f t="shared" si="0"/>
        <v>0.105437</v>
      </c>
      <c r="S6" s="34">
        <f t="shared" si="1"/>
        <v>1.0144957728509185E-2</v>
      </c>
    </row>
    <row r="7" spans="2:19" x14ac:dyDescent="0.25">
      <c r="B7" s="34" t="s">
        <v>114</v>
      </c>
      <c r="C7" s="4">
        <v>455</v>
      </c>
      <c r="D7" s="1">
        <f t="shared" si="2"/>
        <v>0.1095303435160444</v>
      </c>
      <c r="E7" s="34"/>
      <c r="F7" s="4">
        <v>6.1350000000000002E-2</v>
      </c>
      <c r="G7" s="4">
        <v>3.96E-3</v>
      </c>
      <c r="H7" s="4">
        <v>3.0300000000000001E-3</v>
      </c>
      <c r="I7" s="34"/>
      <c r="J7" s="4">
        <v>1.796E-2</v>
      </c>
      <c r="K7" s="4">
        <v>-1.82E-3</v>
      </c>
      <c r="L7" s="4">
        <v>1.47E-4</v>
      </c>
      <c r="M7" s="4">
        <v>7.1700000000000002E-3</v>
      </c>
      <c r="N7" s="4">
        <v>6.2E-4</v>
      </c>
      <c r="O7" s="4">
        <v>5.9999999999999995E-4</v>
      </c>
      <c r="P7" s="4">
        <v>1.242E-2</v>
      </c>
      <c r="Q7" s="34">
        <v>0</v>
      </c>
      <c r="R7" s="34">
        <f t="shared" si="0"/>
        <v>0.105437</v>
      </c>
      <c r="S7" s="34">
        <f t="shared" si="1"/>
        <v>1.1548550829301174E-2</v>
      </c>
    </row>
    <row r="8" spans="2:19" x14ac:dyDescent="0.25">
      <c r="B8" s="34" t="s">
        <v>115</v>
      </c>
      <c r="C8" s="4">
        <v>499.4</v>
      </c>
      <c r="D8" s="1">
        <f t="shared" si="2"/>
        <v>0.12021857923497269</v>
      </c>
      <c r="E8" s="34"/>
      <c r="F8" s="4">
        <v>5.815E-2</v>
      </c>
      <c r="G8" s="4">
        <v>3.96E-3</v>
      </c>
      <c r="H8" s="4">
        <v>3.7699999999999999E-3</v>
      </c>
      <c r="I8" s="34"/>
      <c r="J8" s="4">
        <v>1.796E-2</v>
      </c>
      <c r="K8" s="4">
        <v>-1.9400000000000001E-3</v>
      </c>
      <c r="L8" s="4">
        <v>1.47E-4</v>
      </c>
      <c r="M8" s="4">
        <v>7.1700000000000002E-3</v>
      </c>
      <c r="N8" s="4">
        <v>6.2E-4</v>
      </c>
      <c r="O8" s="4">
        <v>5.9999999999999995E-4</v>
      </c>
      <c r="P8" s="4">
        <v>1.242E-2</v>
      </c>
      <c r="Q8" s="34">
        <v>0</v>
      </c>
      <c r="R8" s="34">
        <f t="shared" si="0"/>
        <v>0.10285699999999999</v>
      </c>
      <c r="S8" s="34">
        <f t="shared" si="1"/>
        <v>1.2365322404371585E-2</v>
      </c>
    </row>
    <row r="9" spans="2:19" x14ac:dyDescent="0.25">
      <c r="B9" s="34" t="s">
        <v>116</v>
      </c>
      <c r="C9" s="4">
        <v>495.9</v>
      </c>
      <c r="D9" s="1">
        <f t="shared" si="2"/>
        <v>0.11937603813100311</v>
      </c>
      <c r="E9" s="34"/>
      <c r="F9" s="4">
        <v>5.815E-2</v>
      </c>
      <c r="G9" s="4">
        <v>3.96E-3</v>
      </c>
      <c r="H9" s="4">
        <v>3.7699999999999999E-3</v>
      </c>
      <c r="I9" s="34"/>
      <c r="J9" s="4">
        <v>1.796E-2</v>
      </c>
      <c r="K9" s="4">
        <v>-1.9400000000000001E-3</v>
      </c>
      <c r="L9" s="4">
        <v>1.47E-4</v>
      </c>
      <c r="M9" s="4">
        <v>7.1700000000000002E-3</v>
      </c>
      <c r="N9" s="4">
        <v>6.2E-4</v>
      </c>
      <c r="O9" s="4">
        <v>5.9999999999999995E-4</v>
      </c>
      <c r="P9" s="4">
        <v>1.242E-2</v>
      </c>
      <c r="Q9" s="34">
        <v>0</v>
      </c>
      <c r="R9" s="34">
        <f t="shared" si="0"/>
        <v>0.10285699999999999</v>
      </c>
      <c r="S9" s="34">
        <f t="shared" si="1"/>
        <v>1.2278661154040586E-2</v>
      </c>
    </row>
    <row r="10" spans="2:19" x14ac:dyDescent="0.25">
      <c r="B10" s="34" t="s">
        <v>117</v>
      </c>
      <c r="C10" s="4">
        <v>454.7</v>
      </c>
      <c r="D10" s="1">
        <f t="shared" si="2"/>
        <v>0.10945812570713273</v>
      </c>
      <c r="E10" s="34"/>
      <c r="F10" s="4">
        <v>5.815E-2</v>
      </c>
      <c r="G10" s="4">
        <v>3.96E-3</v>
      </c>
      <c r="H10" s="4">
        <v>3.7699999999999999E-3</v>
      </c>
      <c r="I10" s="34"/>
      <c r="J10" s="4">
        <v>1.796E-2</v>
      </c>
      <c r="K10" s="4">
        <v>-1.9400000000000001E-3</v>
      </c>
      <c r="L10" s="4">
        <v>1.47E-4</v>
      </c>
      <c r="M10" s="4">
        <v>7.1700000000000002E-3</v>
      </c>
      <c r="N10" s="4">
        <v>6.2E-4</v>
      </c>
      <c r="O10" s="4">
        <v>5.9999999999999995E-4</v>
      </c>
      <c r="P10" s="4">
        <v>1.242E-2</v>
      </c>
      <c r="Q10" s="34">
        <v>0</v>
      </c>
      <c r="R10" s="34">
        <f t="shared" si="0"/>
        <v>0.10285699999999999</v>
      </c>
      <c r="S10" s="34">
        <f t="shared" si="1"/>
        <v>1.125853443585855E-2</v>
      </c>
    </row>
    <row r="11" spans="2:19" x14ac:dyDescent="0.25">
      <c r="B11" s="34" t="s">
        <v>118</v>
      </c>
      <c r="C11" s="4">
        <v>374.4</v>
      </c>
      <c r="D11" s="1">
        <f t="shared" si="2"/>
        <v>9.0127825521773675E-2</v>
      </c>
      <c r="E11" s="34"/>
      <c r="F11" s="4">
        <v>5.815E-2</v>
      </c>
      <c r="G11" s="4">
        <v>3.96E-3</v>
      </c>
      <c r="H11" s="4">
        <v>3.7699999999999999E-3</v>
      </c>
      <c r="I11" s="34"/>
      <c r="J11" s="4">
        <v>1.796E-2</v>
      </c>
      <c r="K11" s="4">
        <v>-1.9400000000000001E-3</v>
      </c>
      <c r="L11" s="4">
        <v>1.47E-4</v>
      </c>
      <c r="M11" s="4">
        <v>7.1700000000000002E-3</v>
      </c>
      <c r="N11" s="4">
        <v>6.2E-4</v>
      </c>
      <c r="O11" s="4">
        <v>5.9999999999999995E-4</v>
      </c>
      <c r="P11" s="4">
        <v>1.242E-2</v>
      </c>
      <c r="Q11" s="34">
        <v>0</v>
      </c>
      <c r="R11" s="34">
        <f t="shared" si="0"/>
        <v>0.10285699999999999</v>
      </c>
      <c r="S11" s="34">
        <f t="shared" si="1"/>
        <v>9.2702777496930736E-3</v>
      </c>
    </row>
    <row r="12" spans="2:19" x14ac:dyDescent="0.25">
      <c r="B12" s="34" t="s">
        <v>119</v>
      </c>
      <c r="C12" s="4">
        <v>298.7</v>
      </c>
      <c r="D12" s="1">
        <f t="shared" si="2"/>
        <v>7.1904865073060362E-2</v>
      </c>
      <c r="E12" s="34"/>
      <c r="F12" s="4">
        <v>6.1350000000000002E-2</v>
      </c>
      <c r="G12" s="4">
        <v>3.96E-3</v>
      </c>
      <c r="H12" s="4">
        <v>7.8100000000000001E-3</v>
      </c>
      <c r="I12" s="34"/>
      <c r="J12" s="4">
        <v>1.796E-2</v>
      </c>
      <c r="K12" s="4">
        <v>-1.7799999999999999E-3</v>
      </c>
      <c r="L12" s="4">
        <v>1.47E-4</v>
      </c>
      <c r="M12" s="4">
        <v>7.1700000000000002E-3</v>
      </c>
      <c r="N12" s="4">
        <v>6.2E-4</v>
      </c>
      <c r="O12" s="4">
        <v>5.9999999999999995E-4</v>
      </c>
      <c r="P12" s="4">
        <v>1.242E-2</v>
      </c>
      <c r="Q12" s="34">
        <v>0</v>
      </c>
      <c r="R12" s="34">
        <f t="shared" si="0"/>
        <v>0.11025699999999999</v>
      </c>
      <c r="S12" s="34">
        <f t="shared" si="1"/>
        <v>7.9280147083604161E-3</v>
      </c>
    </row>
    <row r="13" spans="2:19" x14ac:dyDescent="0.25">
      <c r="B13" s="34" t="s">
        <v>120</v>
      </c>
      <c r="C13" s="4">
        <v>215.9</v>
      </c>
      <c r="D13" s="1">
        <f t="shared" si="2"/>
        <v>5.1972749813437337E-2</v>
      </c>
      <c r="E13" s="34"/>
      <c r="F13" s="4">
        <v>6.1350000000000002E-2</v>
      </c>
      <c r="G13" s="4">
        <v>3.96E-3</v>
      </c>
      <c r="H13" s="4">
        <v>7.8100000000000001E-3</v>
      </c>
      <c r="I13" s="34"/>
      <c r="J13" s="4">
        <v>1.796E-2</v>
      </c>
      <c r="K13" s="4">
        <v>-1.7799999999999999E-3</v>
      </c>
      <c r="L13" s="4">
        <v>1.47E-4</v>
      </c>
      <c r="M13" s="4">
        <v>7.1700000000000002E-3</v>
      </c>
      <c r="N13" s="4">
        <v>6.2E-4</v>
      </c>
      <c r="O13" s="4">
        <v>5.9999999999999995E-4</v>
      </c>
      <c r="P13" s="4">
        <v>1.242E-2</v>
      </c>
      <c r="Q13" s="34">
        <v>0</v>
      </c>
      <c r="R13" s="34">
        <f t="shared" si="0"/>
        <v>0.11025699999999999</v>
      </c>
      <c r="S13" s="34">
        <f t="shared" si="1"/>
        <v>5.7303594761801604E-3</v>
      </c>
    </row>
    <row r="14" spans="2:19" x14ac:dyDescent="0.25">
      <c r="B14" s="34" t="s">
        <v>121</v>
      </c>
      <c r="C14" s="4">
        <v>176.8</v>
      </c>
      <c r="D14" s="1">
        <f t="shared" si="2"/>
        <v>4.2560362051948686E-2</v>
      </c>
      <c r="E14" s="34"/>
      <c r="F14" s="4">
        <v>6.1350000000000002E-2</v>
      </c>
      <c r="G14" s="4">
        <v>3.96E-3</v>
      </c>
      <c r="H14" s="4">
        <v>7.8100000000000001E-3</v>
      </c>
      <c r="I14" s="34"/>
      <c r="J14" s="4">
        <v>1.796E-2</v>
      </c>
      <c r="K14" s="4">
        <v>-1.7799999999999999E-3</v>
      </c>
      <c r="L14" s="4">
        <v>1.47E-4</v>
      </c>
      <c r="M14" s="4">
        <v>7.1700000000000002E-3</v>
      </c>
      <c r="N14" s="4">
        <v>6.2E-4</v>
      </c>
      <c r="O14" s="4">
        <v>5.9999999999999995E-4</v>
      </c>
      <c r="P14" s="4">
        <v>1.242E-2</v>
      </c>
      <c r="Q14" s="34">
        <v>0</v>
      </c>
      <c r="R14" s="34">
        <f t="shared" si="0"/>
        <v>0.11025699999999999</v>
      </c>
      <c r="S14" s="34">
        <f t="shared" si="1"/>
        <v>4.6925778387617058E-3</v>
      </c>
    </row>
    <row r="15" spans="2:19" x14ac:dyDescent="0.25">
      <c r="B15" s="34"/>
      <c r="C15" s="34"/>
      <c r="D15" s="1"/>
      <c r="E15" s="34"/>
      <c r="F15" s="34"/>
      <c r="G15" s="34"/>
      <c r="H15" s="34"/>
      <c r="I15" s="34"/>
      <c r="J15" s="34"/>
      <c r="K15" s="34"/>
      <c r="L15" s="34"/>
      <c r="M15" s="34"/>
      <c r="N15" s="34"/>
      <c r="O15" s="34"/>
      <c r="P15" s="34"/>
      <c r="Q15" s="34"/>
      <c r="R15" s="34"/>
      <c r="S15" s="34"/>
    </row>
    <row r="16" spans="2:19" ht="15.75" thickBot="1" x14ac:dyDescent="0.3">
      <c r="B16" s="34"/>
      <c r="C16" s="34"/>
      <c r="D16" s="1"/>
      <c r="E16" s="34"/>
      <c r="F16" s="34"/>
      <c r="G16" s="34"/>
      <c r="H16" s="34"/>
      <c r="I16" s="34"/>
      <c r="J16" s="34"/>
      <c r="K16" s="34"/>
      <c r="L16" s="34"/>
      <c r="M16" s="34"/>
      <c r="N16" s="34"/>
      <c r="O16" s="34"/>
      <c r="P16" s="34"/>
      <c r="Q16" s="34"/>
      <c r="R16" s="34"/>
      <c r="S16" s="34"/>
    </row>
    <row r="17" spans="2:19" ht="16.5" thickTop="1" thickBot="1" x14ac:dyDescent="0.3">
      <c r="B17" s="34"/>
      <c r="C17" s="34"/>
      <c r="D17" s="1"/>
      <c r="E17" s="34"/>
      <c r="F17" s="34"/>
      <c r="G17" s="34"/>
      <c r="H17" s="34"/>
      <c r="I17" s="34"/>
      <c r="J17" s="34"/>
      <c r="K17" s="34"/>
      <c r="L17" s="34"/>
      <c r="M17" s="34"/>
      <c r="N17" s="34" t="s">
        <v>122</v>
      </c>
      <c r="O17" s="34"/>
      <c r="Q17" s="34" t="s">
        <v>140</v>
      </c>
      <c r="R17" s="34"/>
      <c r="S17" s="68">
        <f>SUM(S3:S14)</f>
        <v>0.10510614518186852</v>
      </c>
    </row>
    <row r="18" spans="2:19" ht="15.75" thickTop="1" x14ac:dyDescent="0.25"/>
    <row r="20" spans="2:19" x14ac:dyDescent="0.25">
      <c r="B20" s="4" t="s">
        <v>168</v>
      </c>
      <c r="C20" s="4"/>
      <c r="D20" s="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1D538-9149-48BE-8448-20E12641DB54}">
  <sheetPr>
    <tabColor rgb="FFFFC000"/>
  </sheetPr>
  <dimension ref="B2:Q20"/>
  <sheetViews>
    <sheetView workbookViewId="0">
      <selection activeCell="B20" sqref="B20:D20"/>
    </sheetView>
  </sheetViews>
  <sheetFormatPr defaultRowHeight="15" x14ac:dyDescent="0.25"/>
  <sheetData>
    <row r="2" spans="2:17" ht="75" x14ac:dyDescent="0.25">
      <c r="B2" s="45"/>
      <c r="C2" s="64" t="s">
        <v>135</v>
      </c>
      <c r="D2" s="65" t="s">
        <v>96</v>
      </c>
      <c r="E2" s="45"/>
      <c r="F2" s="45" t="s">
        <v>136</v>
      </c>
      <c r="G2" s="45"/>
      <c r="H2" s="45"/>
      <c r="I2" s="45"/>
      <c r="J2" s="45" t="s">
        <v>100</v>
      </c>
      <c r="K2" s="45" t="s">
        <v>101</v>
      </c>
      <c r="L2" s="45" t="s">
        <v>102</v>
      </c>
      <c r="M2" s="45" t="s">
        <v>103</v>
      </c>
      <c r="N2" s="45" t="s">
        <v>104</v>
      </c>
      <c r="O2" s="45" t="s">
        <v>107</v>
      </c>
      <c r="P2" s="67" t="s">
        <v>108</v>
      </c>
      <c r="Q2" s="67" t="s">
        <v>109</v>
      </c>
    </row>
    <row r="3" spans="2:17" x14ac:dyDescent="0.25">
      <c r="B3" s="34" t="s">
        <v>110</v>
      </c>
      <c r="C3" s="4">
        <v>2.38</v>
      </c>
      <c r="D3" s="1">
        <f>C3/SUM($C$3:$C$14)</f>
        <v>4.5463228271251196E-2</v>
      </c>
      <c r="E3" s="34"/>
      <c r="F3" s="4">
        <v>7.2249999999999995E-2</v>
      </c>
      <c r="G3" s="34">
        <v>0</v>
      </c>
      <c r="H3" s="34">
        <v>0</v>
      </c>
      <c r="I3" s="34">
        <v>0</v>
      </c>
      <c r="J3" s="4">
        <v>3.2219999999999999E-2</v>
      </c>
      <c r="K3" s="4">
        <v>0</v>
      </c>
      <c r="L3" s="4">
        <v>1.2899999999999999E-4</v>
      </c>
      <c r="M3" s="4">
        <v>5.4799999999999996E-3</v>
      </c>
      <c r="N3" s="4">
        <v>6.2E-4</v>
      </c>
      <c r="O3" s="34">
        <v>0</v>
      </c>
      <c r="P3" s="34">
        <f t="shared" ref="P3:P14" si="0">SUM(F3:O3)</f>
        <v>0.11069899999999999</v>
      </c>
      <c r="Q3" s="34">
        <f t="shared" ref="Q3:Q14" si="1">P3*D3</f>
        <v>5.0327339063992362E-3</v>
      </c>
    </row>
    <row r="4" spans="2:17" x14ac:dyDescent="0.25">
      <c r="B4" s="34" t="s">
        <v>111</v>
      </c>
      <c r="C4" s="4">
        <v>3.33</v>
      </c>
      <c r="D4" s="1">
        <f t="shared" ref="D4:D14" si="2">C4/SUM($C$3:$C$14)</f>
        <v>6.3610315186246422E-2</v>
      </c>
      <c r="E4" s="34"/>
      <c r="F4" s="4">
        <v>7.0529999999999995E-2</v>
      </c>
      <c r="G4" s="34">
        <v>0</v>
      </c>
      <c r="H4" s="34">
        <v>0</v>
      </c>
      <c r="I4" s="34">
        <v>0</v>
      </c>
      <c r="J4" s="4">
        <v>3.218E-2</v>
      </c>
      <c r="K4" s="4">
        <v>0</v>
      </c>
      <c r="L4" s="4">
        <v>1.2899999999999999E-4</v>
      </c>
      <c r="M4" s="4">
        <v>5.4799999999999996E-3</v>
      </c>
      <c r="N4" s="4">
        <v>6.2E-4</v>
      </c>
      <c r="O4" s="34">
        <v>0</v>
      </c>
      <c r="P4" s="34">
        <f t="shared" si="0"/>
        <v>0.10893899999999999</v>
      </c>
      <c r="Q4" s="34">
        <f t="shared" si="1"/>
        <v>6.9296441260744985E-3</v>
      </c>
    </row>
    <row r="5" spans="2:17" x14ac:dyDescent="0.25">
      <c r="B5" s="34" t="s">
        <v>112</v>
      </c>
      <c r="C5" s="4">
        <v>4.13</v>
      </c>
      <c r="D5" s="1">
        <f t="shared" si="2"/>
        <v>7.889207258834767E-2</v>
      </c>
      <c r="E5" s="34"/>
      <c r="F5" s="4">
        <v>7.0529999999999995E-2</v>
      </c>
      <c r="G5" s="34">
        <v>0</v>
      </c>
      <c r="H5" s="34">
        <v>0</v>
      </c>
      <c r="I5" s="34">
        <v>0</v>
      </c>
      <c r="J5" s="4">
        <v>3.4209999999999997E-2</v>
      </c>
      <c r="K5" s="4">
        <v>0</v>
      </c>
      <c r="L5" s="4">
        <v>1.2899999999999999E-4</v>
      </c>
      <c r="M5" s="4">
        <v>5.94E-3</v>
      </c>
      <c r="N5" s="4">
        <v>6.2E-4</v>
      </c>
      <c r="O5" s="34">
        <v>0</v>
      </c>
      <c r="P5" s="34">
        <f t="shared" si="0"/>
        <v>0.111429</v>
      </c>
      <c r="Q5" s="34">
        <f t="shared" si="1"/>
        <v>8.7908647564469925E-3</v>
      </c>
    </row>
    <row r="6" spans="2:17" x14ac:dyDescent="0.25">
      <c r="B6" s="34" t="s">
        <v>113</v>
      </c>
      <c r="C6" s="4">
        <v>5.24</v>
      </c>
      <c r="D6" s="1">
        <f t="shared" si="2"/>
        <v>0.10009551098376315</v>
      </c>
      <c r="E6" s="34"/>
      <c r="F6" s="4">
        <v>7.0529999999999995E-2</v>
      </c>
      <c r="G6" s="34">
        <v>0</v>
      </c>
      <c r="H6" s="34">
        <v>0</v>
      </c>
      <c r="I6" s="34">
        <v>0</v>
      </c>
      <c r="J6" s="4">
        <v>3.3270000000000001E-2</v>
      </c>
      <c r="K6" s="4">
        <v>0</v>
      </c>
      <c r="L6" s="4">
        <v>1.2899999999999999E-4</v>
      </c>
      <c r="M6" s="4">
        <v>5.94E-3</v>
      </c>
      <c r="N6" s="4">
        <v>6.2E-4</v>
      </c>
      <c r="O6" s="34">
        <v>0</v>
      </c>
      <c r="P6" s="34">
        <f t="shared" si="0"/>
        <v>0.110489</v>
      </c>
      <c r="Q6" s="34">
        <f t="shared" si="1"/>
        <v>1.1059452913085008E-2</v>
      </c>
    </row>
    <row r="7" spans="2:17" x14ac:dyDescent="0.25">
      <c r="B7" s="34" t="s">
        <v>114</v>
      </c>
      <c r="C7" s="4">
        <v>5.96</v>
      </c>
      <c r="D7" s="1">
        <f t="shared" si="2"/>
        <v>0.11384909264565427</v>
      </c>
      <c r="E7" s="34"/>
      <c r="F7" s="4">
        <v>7.0529999999999995E-2</v>
      </c>
      <c r="G7" s="34">
        <v>0</v>
      </c>
      <c r="H7" s="34">
        <v>0</v>
      </c>
      <c r="I7" s="34">
        <v>0</v>
      </c>
      <c r="J7" s="4">
        <v>3.934E-2</v>
      </c>
      <c r="K7" s="4">
        <v>0</v>
      </c>
      <c r="L7" s="4">
        <v>1.2899999999999999E-4</v>
      </c>
      <c r="M7" s="4">
        <v>5.94E-3</v>
      </c>
      <c r="N7" s="4">
        <v>6.2E-4</v>
      </c>
      <c r="O7" s="34">
        <v>0</v>
      </c>
      <c r="P7" s="34">
        <f t="shared" si="0"/>
        <v>0.116559</v>
      </c>
      <c r="Q7" s="34">
        <f t="shared" si="1"/>
        <v>1.3270136389684816E-2</v>
      </c>
    </row>
    <row r="8" spans="2:17" x14ac:dyDescent="0.25">
      <c r="B8" s="34" t="s">
        <v>115</v>
      </c>
      <c r="C8" s="4">
        <v>6.39</v>
      </c>
      <c r="D8" s="1">
        <f t="shared" si="2"/>
        <v>0.12206303724928368</v>
      </c>
      <c r="E8" s="34"/>
      <c r="F8" s="4">
        <v>7.2840000000000002E-2</v>
      </c>
      <c r="G8" s="34">
        <v>0</v>
      </c>
      <c r="H8" s="34">
        <v>0</v>
      </c>
      <c r="I8" s="34">
        <v>0</v>
      </c>
      <c r="J8" s="4">
        <v>3.5970000000000002E-2</v>
      </c>
      <c r="K8" s="4">
        <v>0</v>
      </c>
      <c r="L8" s="4">
        <v>1.2899999999999999E-4</v>
      </c>
      <c r="M8" s="4">
        <v>5.94E-3</v>
      </c>
      <c r="N8" s="4">
        <v>6.2E-4</v>
      </c>
      <c r="O8" s="34">
        <v>0</v>
      </c>
      <c r="P8" s="34">
        <f t="shared" si="0"/>
        <v>0.115499</v>
      </c>
      <c r="Q8" s="34">
        <f t="shared" si="1"/>
        <v>1.4098158739255016E-2</v>
      </c>
    </row>
    <row r="9" spans="2:17" x14ac:dyDescent="0.25">
      <c r="B9" s="34" t="s">
        <v>116</v>
      </c>
      <c r="C9" s="4">
        <v>6.5</v>
      </c>
      <c r="D9" s="1">
        <f t="shared" si="2"/>
        <v>0.1241642788920726</v>
      </c>
      <c r="E9" s="34"/>
      <c r="F9" s="4">
        <v>7.6630000000000004E-2</v>
      </c>
      <c r="G9" s="34">
        <v>0</v>
      </c>
      <c r="H9" s="34">
        <v>0</v>
      </c>
      <c r="I9" s="34">
        <v>0</v>
      </c>
      <c r="J9" s="4">
        <v>3.329E-2</v>
      </c>
      <c r="K9" s="4">
        <v>0</v>
      </c>
      <c r="L9" s="4">
        <v>1.47E-4</v>
      </c>
      <c r="M9" s="4">
        <v>5.94E-3</v>
      </c>
      <c r="N9" s="4">
        <v>6.2E-4</v>
      </c>
      <c r="O9" s="34">
        <v>0</v>
      </c>
      <c r="P9" s="34">
        <f t="shared" si="0"/>
        <v>0.11662699999999999</v>
      </c>
      <c r="Q9" s="34">
        <f t="shared" si="1"/>
        <v>1.448090735434575E-2</v>
      </c>
    </row>
    <row r="10" spans="2:17" x14ac:dyDescent="0.25">
      <c r="B10" s="34" t="s">
        <v>117</v>
      </c>
      <c r="C10" s="4">
        <v>5.62</v>
      </c>
      <c r="D10" s="1">
        <f t="shared" si="2"/>
        <v>0.10735434574976124</v>
      </c>
      <c r="E10" s="34"/>
      <c r="F10" s="4">
        <v>7.6630000000000004E-2</v>
      </c>
      <c r="G10" s="34">
        <v>0</v>
      </c>
      <c r="H10" s="34">
        <v>0</v>
      </c>
      <c r="I10" s="34">
        <v>0</v>
      </c>
      <c r="J10" s="4">
        <v>3.2009999999999997E-2</v>
      </c>
      <c r="K10" s="4">
        <v>0</v>
      </c>
      <c r="L10" s="4">
        <v>1.47E-4</v>
      </c>
      <c r="M10" s="4">
        <v>5.94E-3</v>
      </c>
      <c r="N10" s="4">
        <v>6.2E-4</v>
      </c>
      <c r="O10" s="34">
        <v>0</v>
      </c>
      <c r="P10" s="34">
        <f t="shared" si="0"/>
        <v>0.11534699999999999</v>
      </c>
      <c r="Q10" s="34">
        <f t="shared" si="1"/>
        <v>1.2383001719197709E-2</v>
      </c>
    </row>
    <row r="11" spans="2:17" x14ac:dyDescent="0.25">
      <c r="B11" s="34" t="s">
        <v>118</v>
      </c>
      <c r="C11" s="4">
        <v>4.6100000000000003</v>
      </c>
      <c r="D11" s="1">
        <f t="shared" si="2"/>
        <v>8.8061127029608416E-2</v>
      </c>
      <c r="E11" s="34"/>
      <c r="F11" s="4">
        <v>7.6630000000000004E-2</v>
      </c>
      <c r="G11" s="34">
        <v>0</v>
      </c>
      <c r="H11" s="34">
        <v>0</v>
      </c>
      <c r="I11" s="34">
        <v>0</v>
      </c>
      <c r="J11" s="4">
        <v>3.2009999999999997E-2</v>
      </c>
      <c r="K11" s="4">
        <v>0</v>
      </c>
      <c r="L11" s="4">
        <v>1.47E-4</v>
      </c>
      <c r="M11" s="4">
        <v>5.94E-3</v>
      </c>
      <c r="N11" s="4">
        <v>6.2E-4</v>
      </c>
      <c r="O11" s="34">
        <v>0</v>
      </c>
      <c r="P11" s="34">
        <f t="shared" si="0"/>
        <v>0.11534699999999999</v>
      </c>
      <c r="Q11" s="34">
        <f t="shared" si="1"/>
        <v>1.0157586819484241E-2</v>
      </c>
    </row>
    <row r="12" spans="2:17" x14ac:dyDescent="0.25">
      <c r="B12" s="34" t="s">
        <v>119</v>
      </c>
      <c r="C12" s="4">
        <v>3.44</v>
      </c>
      <c r="D12" s="1">
        <f t="shared" si="2"/>
        <v>6.5711556829035345E-2</v>
      </c>
      <c r="E12" s="34"/>
      <c r="F12" s="4">
        <v>8.3299999999999999E-2</v>
      </c>
      <c r="G12" s="34">
        <v>0</v>
      </c>
      <c r="H12" s="34">
        <v>0</v>
      </c>
      <c r="I12" s="34">
        <v>0</v>
      </c>
      <c r="J12" s="4">
        <v>3.2009999999999997E-2</v>
      </c>
      <c r="K12" s="4">
        <v>0</v>
      </c>
      <c r="L12" s="4">
        <v>1.47E-4</v>
      </c>
      <c r="M12" s="4">
        <v>5.94E-3</v>
      </c>
      <c r="N12" s="4">
        <v>6.2E-4</v>
      </c>
      <c r="O12" s="34">
        <v>0</v>
      </c>
      <c r="P12" s="34">
        <f t="shared" si="0"/>
        <v>0.12201699999999999</v>
      </c>
      <c r="Q12" s="34">
        <f t="shared" si="1"/>
        <v>8.0179270296084054E-3</v>
      </c>
    </row>
    <row r="13" spans="2:17" x14ac:dyDescent="0.25">
      <c r="B13" s="34" t="s">
        <v>120</v>
      </c>
      <c r="C13" s="4">
        <v>2.63</v>
      </c>
      <c r="D13" s="1">
        <f t="shared" si="2"/>
        <v>5.0238777459407837E-2</v>
      </c>
      <c r="E13" s="34"/>
      <c r="F13" s="4">
        <v>7.2249999999999995E-2</v>
      </c>
      <c r="G13" s="72">
        <v>0</v>
      </c>
      <c r="H13" s="72">
        <v>0</v>
      </c>
      <c r="I13" s="72">
        <v>0</v>
      </c>
      <c r="J13" s="4">
        <v>3.0779999999999998E-2</v>
      </c>
      <c r="K13" s="4">
        <v>0</v>
      </c>
      <c r="L13" s="4">
        <v>1.2899999999999999E-4</v>
      </c>
      <c r="M13" s="4">
        <v>8.3000000000000001E-3</v>
      </c>
      <c r="N13" s="4">
        <v>6.2E-4</v>
      </c>
      <c r="O13" s="34">
        <v>0</v>
      </c>
      <c r="P13" s="34">
        <f t="shared" si="0"/>
        <v>0.112079</v>
      </c>
      <c r="Q13" s="34">
        <f t="shared" si="1"/>
        <v>5.6307119388729707E-3</v>
      </c>
    </row>
    <row r="14" spans="2:17" x14ac:dyDescent="0.25">
      <c r="B14" s="34" t="s">
        <v>121</v>
      </c>
      <c r="C14" s="4">
        <v>2.12</v>
      </c>
      <c r="D14" s="1">
        <f t="shared" si="2"/>
        <v>4.0496657115568296E-2</v>
      </c>
      <c r="E14" s="34"/>
      <c r="F14" s="4">
        <v>7.2249999999999995E-2</v>
      </c>
      <c r="G14" s="72">
        <v>0</v>
      </c>
      <c r="H14" s="72">
        <v>0</v>
      </c>
      <c r="I14" s="72">
        <v>0</v>
      </c>
      <c r="J14" s="4">
        <v>3.0779999999999998E-2</v>
      </c>
      <c r="K14" s="4">
        <v>0</v>
      </c>
      <c r="L14" s="4">
        <v>1.2899999999999999E-4</v>
      </c>
      <c r="M14" s="4">
        <v>8.3000000000000001E-3</v>
      </c>
      <c r="N14" s="4">
        <v>6.2E-4</v>
      </c>
      <c r="O14" s="34">
        <v>0</v>
      </c>
      <c r="P14" s="34">
        <f t="shared" si="0"/>
        <v>0.112079</v>
      </c>
      <c r="Q14" s="34">
        <f t="shared" si="1"/>
        <v>4.5388248328557786E-3</v>
      </c>
    </row>
    <row r="15" spans="2:17" x14ac:dyDescent="0.25">
      <c r="B15" s="34"/>
      <c r="C15" s="34"/>
      <c r="D15" s="1"/>
      <c r="E15" s="34"/>
      <c r="F15" s="34"/>
      <c r="G15" s="34"/>
      <c r="H15" s="34"/>
      <c r="I15" s="34"/>
      <c r="J15" s="34"/>
      <c r="K15" s="34"/>
      <c r="L15" s="34"/>
      <c r="M15" s="34"/>
      <c r="N15" s="34"/>
      <c r="O15" s="34"/>
      <c r="P15" s="34"/>
      <c r="Q15" s="34"/>
    </row>
    <row r="16" spans="2:17" ht="15.75" thickBot="1" x14ac:dyDescent="0.3">
      <c r="B16" s="34"/>
      <c r="C16" s="34"/>
      <c r="D16" s="1"/>
      <c r="E16" s="34"/>
      <c r="F16" s="34"/>
      <c r="G16" s="34"/>
      <c r="H16" s="34"/>
      <c r="I16" s="34"/>
      <c r="J16" s="34"/>
      <c r="K16" s="34"/>
      <c r="L16" s="34"/>
      <c r="M16" s="34"/>
      <c r="N16" s="34"/>
      <c r="O16" s="34"/>
      <c r="P16" s="34"/>
      <c r="Q16" s="34"/>
    </row>
    <row r="17" spans="2:17" ht="16.5" thickTop="1" thickBot="1" x14ac:dyDescent="0.3">
      <c r="B17" s="34"/>
      <c r="C17" s="34"/>
      <c r="D17" s="1"/>
      <c r="E17" s="34"/>
      <c r="F17" s="34"/>
      <c r="G17" s="34"/>
      <c r="H17" s="34"/>
      <c r="I17" s="34"/>
      <c r="J17" s="34"/>
      <c r="K17" s="34"/>
      <c r="L17" s="34"/>
      <c r="M17" s="34"/>
      <c r="N17" s="34" t="s">
        <v>137</v>
      </c>
      <c r="O17" s="34" t="s">
        <v>140</v>
      </c>
      <c r="P17" s="34"/>
      <c r="Q17" s="68">
        <f>SUM(Q3:Q14)</f>
        <v>0.11438995052531042</v>
      </c>
    </row>
    <row r="18" spans="2:17" ht="15.75" thickTop="1" x14ac:dyDescent="0.25"/>
    <row r="20" spans="2:17" x14ac:dyDescent="0.25">
      <c r="B20" s="4" t="s">
        <v>168</v>
      </c>
      <c r="C20" s="4"/>
      <c r="D20" s="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EE432-8953-4EBC-9011-30201D62DC8B}">
  <sheetPr>
    <tabColor rgb="FFFFC000"/>
  </sheetPr>
  <dimension ref="B2:S20"/>
  <sheetViews>
    <sheetView workbookViewId="0">
      <selection activeCell="B20" sqref="B20:D20"/>
    </sheetView>
  </sheetViews>
  <sheetFormatPr defaultRowHeight="15" x14ac:dyDescent="0.25"/>
  <sheetData>
    <row r="2" spans="2:19" ht="75" x14ac:dyDescent="0.25">
      <c r="B2" s="45"/>
      <c r="C2" s="64" t="s">
        <v>123</v>
      </c>
      <c r="D2" s="65" t="s">
        <v>96</v>
      </c>
      <c r="E2" s="45"/>
      <c r="F2" s="45" t="s">
        <v>124</v>
      </c>
      <c r="G2" s="45" t="s">
        <v>125</v>
      </c>
      <c r="H2" s="45" t="s">
        <v>126</v>
      </c>
      <c r="I2" s="45" t="s">
        <v>127</v>
      </c>
      <c r="J2" s="45"/>
      <c r="K2" s="45" t="s">
        <v>128</v>
      </c>
      <c r="L2" s="45" t="s">
        <v>129</v>
      </c>
      <c r="M2" s="45" t="s">
        <v>130</v>
      </c>
      <c r="N2" s="45" t="s">
        <v>131</v>
      </c>
      <c r="O2" s="45" t="s">
        <v>132</v>
      </c>
      <c r="P2" s="45" t="s">
        <v>101</v>
      </c>
      <c r="Q2" s="45" t="s">
        <v>107</v>
      </c>
      <c r="R2" s="69" t="s">
        <v>108</v>
      </c>
      <c r="S2" s="67" t="s">
        <v>109</v>
      </c>
    </row>
    <row r="3" spans="2:19" x14ac:dyDescent="0.25">
      <c r="B3" s="34" t="s">
        <v>110</v>
      </c>
      <c r="C3" s="4">
        <v>2.98</v>
      </c>
      <c r="D3" s="1">
        <f>C3/SUM($C$3:$C$14)</f>
        <v>5.2052401746724902E-2</v>
      </c>
      <c r="E3" s="34"/>
      <c r="F3" s="4">
        <v>6.1159999999999999E-2</v>
      </c>
      <c r="G3" s="4">
        <v>4.0000000000000001E-3</v>
      </c>
      <c r="H3" s="4">
        <v>-4.6556999999999996E-3</v>
      </c>
      <c r="I3" s="4">
        <v>1.7940000000000001E-2</v>
      </c>
      <c r="J3" s="34"/>
      <c r="K3" s="4">
        <v>3.2590000000000001E-2</v>
      </c>
      <c r="L3" s="4">
        <v>-8.6600000000000002E-4</v>
      </c>
      <c r="M3" s="4">
        <v>6.2E-4</v>
      </c>
      <c r="N3" s="4">
        <v>1.2899999999999999E-4</v>
      </c>
      <c r="O3" s="4">
        <v>6.0150000000000004E-3</v>
      </c>
      <c r="P3" s="4">
        <v>-2.9119999999999998E-4</v>
      </c>
      <c r="Q3" s="70">
        <v>0</v>
      </c>
      <c r="R3" s="71">
        <f t="shared" ref="R3:R14" si="0">SUM(F3:Q3)</f>
        <v>0.1166411</v>
      </c>
      <c r="S3" s="34">
        <f t="shared" ref="S3:S14" si="1">R3*D3</f>
        <v>6.0714493973799142E-3</v>
      </c>
    </row>
    <row r="4" spans="2:19" x14ac:dyDescent="0.25">
      <c r="B4" s="34" t="s">
        <v>111</v>
      </c>
      <c r="C4" s="4">
        <v>4.01</v>
      </c>
      <c r="D4" s="1">
        <f t="shared" ref="D4:D14" si="2">C4/SUM($C$3:$C$14)</f>
        <v>7.0043668122270752E-2</v>
      </c>
      <c r="E4" s="34"/>
      <c r="F4" s="4">
        <v>6.1159999999999999E-2</v>
      </c>
      <c r="G4" s="4">
        <v>4.0000000000000001E-3</v>
      </c>
      <c r="H4" s="4">
        <v>-4.7657000000000003E-3</v>
      </c>
      <c r="I4" s="4">
        <v>1.039E-2</v>
      </c>
      <c r="J4" s="34"/>
      <c r="K4" s="4">
        <v>3.2590000000000001E-2</v>
      </c>
      <c r="L4" s="4">
        <v>7.6999999999999996E-4</v>
      </c>
      <c r="M4" s="4">
        <v>6.2E-4</v>
      </c>
      <c r="N4" s="4">
        <v>1.2899999999999999E-4</v>
      </c>
      <c r="O4" s="4">
        <v>6.0150000000000004E-3</v>
      </c>
      <c r="P4" s="4">
        <v>-2.9119999999999998E-4</v>
      </c>
      <c r="Q4" s="70">
        <v>0</v>
      </c>
      <c r="R4" s="71">
        <f t="shared" si="0"/>
        <v>0.11061710000000001</v>
      </c>
      <c r="S4" s="34">
        <f t="shared" si="1"/>
        <v>7.7480274410480368E-3</v>
      </c>
    </row>
    <row r="5" spans="2:19" x14ac:dyDescent="0.25">
      <c r="B5" s="34" t="s">
        <v>112</v>
      </c>
      <c r="C5" s="4">
        <v>4.88</v>
      </c>
      <c r="D5" s="1">
        <f t="shared" si="2"/>
        <v>8.5240174672489108E-2</v>
      </c>
      <c r="E5" s="34"/>
      <c r="F5" s="4">
        <v>6.1159999999999999E-2</v>
      </c>
      <c r="G5" s="4">
        <v>4.0000000000000001E-3</v>
      </c>
      <c r="H5" s="4">
        <v>-5.5037999999999997E-3</v>
      </c>
      <c r="I5" s="4">
        <v>1.039E-2</v>
      </c>
      <c r="J5" s="34"/>
      <c r="K5" s="4">
        <v>3.2590000000000001E-2</v>
      </c>
      <c r="L5" s="4">
        <v>2.0400000000000001E-3</v>
      </c>
      <c r="M5" s="4">
        <v>6.2E-4</v>
      </c>
      <c r="N5" s="4">
        <v>1.2899999999999999E-4</v>
      </c>
      <c r="O5" s="4">
        <v>6.3179999999999998E-3</v>
      </c>
      <c r="P5" s="4">
        <v>-2.9119999999999998E-4</v>
      </c>
      <c r="Q5" s="70">
        <v>0</v>
      </c>
      <c r="R5" s="71">
        <f t="shared" si="0"/>
        <v>0.11145199999999998</v>
      </c>
      <c r="S5" s="34">
        <f t="shared" si="1"/>
        <v>9.5001879475982553E-3</v>
      </c>
    </row>
    <row r="6" spans="2:19" x14ac:dyDescent="0.25">
      <c r="B6" s="34" t="s">
        <v>113</v>
      </c>
      <c r="C6" s="4">
        <v>5.57</v>
      </c>
      <c r="D6" s="1">
        <f t="shared" si="2"/>
        <v>9.7292576419214002E-2</v>
      </c>
      <c r="E6" s="34"/>
      <c r="F6" s="4">
        <v>6.1159999999999999E-2</v>
      </c>
      <c r="G6" s="4">
        <v>4.0000000000000001E-3</v>
      </c>
      <c r="H6" s="4">
        <v>-4.7551E-3</v>
      </c>
      <c r="I6" s="4">
        <v>1.039E-2</v>
      </c>
      <c r="J6" s="34"/>
      <c r="K6" s="4">
        <v>3.2590000000000001E-2</v>
      </c>
      <c r="L6" s="4">
        <v>2.2889999999999998E-3</v>
      </c>
      <c r="M6" s="4">
        <v>6.2E-4</v>
      </c>
      <c r="N6" s="4">
        <v>1.2899999999999999E-4</v>
      </c>
      <c r="O6" s="4">
        <v>6.3179999999999998E-3</v>
      </c>
      <c r="P6" s="4">
        <v>-2.9119999999999998E-4</v>
      </c>
      <c r="Q6" s="70">
        <v>0</v>
      </c>
      <c r="R6" s="71">
        <f t="shared" si="0"/>
        <v>0.1124497</v>
      </c>
      <c r="S6" s="34">
        <f t="shared" si="1"/>
        <v>1.0940521030567689E-2</v>
      </c>
    </row>
    <row r="7" spans="2:19" x14ac:dyDescent="0.25">
      <c r="B7" s="34" t="s">
        <v>114</v>
      </c>
      <c r="C7" s="4">
        <v>6.11</v>
      </c>
      <c r="D7" s="1">
        <f t="shared" si="2"/>
        <v>0.10672489082969436</v>
      </c>
      <c r="E7" s="34"/>
      <c r="F7" s="4">
        <v>6.1159999999999999E-2</v>
      </c>
      <c r="G7" s="4">
        <v>4.0000000000000001E-3</v>
      </c>
      <c r="H7" s="4">
        <v>-4.3172999999999996E-3</v>
      </c>
      <c r="I7" s="4">
        <v>1.039E-2</v>
      </c>
      <c r="J7" s="34"/>
      <c r="K7" s="4">
        <v>3.2590000000000001E-2</v>
      </c>
      <c r="L7" s="4">
        <v>-1.9859999999999999E-3</v>
      </c>
      <c r="M7" s="4">
        <v>6.2E-4</v>
      </c>
      <c r="N7" s="4">
        <v>1.2899999999999999E-4</v>
      </c>
      <c r="O7" s="4">
        <v>6.3179999999999998E-3</v>
      </c>
      <c r="P7" s="4">
        <v>-2.9119999999999998E-4</v>
      </c>
      <c r="Q7" s="70">
        <v>0</v>
      </c>
      <c r="R7" s="71">
        <f t="shared" si="0"/>
        <v>0.10861249999999999</v>
      </c>
      <c r="S7" s="34">
        <f t="shared" si="1"/>
        <v>1.1591657205240177E-2</v>
      </c>
    </row>
    <row r="8" spans="2:19" x14ac:dyDescent="0.25">
      <c r="B8" s="34" t="s">
        <v>115</v>
      </c>
      <c r="C8" s="4">
        <v>6.38</v>
      </c>
      <c r="D8" s="1">
        <f t="shared" si="2"/>
        <v>0.11144104803493453</v>
      </c>
      <c r="E8" s="34"/>
      <c r="F8" s="4">
        <v>5.4640000000000001E-2</v>
      </c>
      <c r="G8" s="4">
        <v>4.0000000000000001E-3</v>
      </c>
      <c r="H8" s="4">
        <v>-3.8693E-3</v>
      </c>
      <c r="I8" s="4">
        <v>1.039E-2</v>
      </c>
      <c r="J8" s="34"/>
      <c r="K8" s="4">
        <v>6.5949999999999995E-2</v>
      </c>
      <c r="L8" s="4">
        <v>8.0000000000000004E-4</v>
      </c>
      <c r="M8" s="4">
        <v>6.2E-4</v>
      </c>
      <c r="N8" s="4">
        <v>1.2899999999999999E-4</v>
      </c>
      <c r="O8" s="4">
        <v>6.3179999999999998E-3</v>
      </c>
      <c r="P8" s="4">
        <v>-2.9119999999999998E-4</v>
      </c>
      <c r="Q8" s="70">
        <v>0</v>
      </c>
      <c r="R8" s="71">
        <f t="shared" si="0"/>
        <v>0.13868649999999999</v>
      </c>
      <c r="S8" s="34">
        <f t="shared" si="1"/>
        <v>1.5455368908296947E-2</v>
      </c>
    </row>
    <row r="9" spans="2:19" x14ac:dyDescent="0.25">
      <c r="B9" s="34" t="s">
        <v>116</v>
      </c>
      <c r="C9" s="4">
        <v>6.42</v>
      </c>
      <c r="D9" s="1">
        <f t="shared" si="2"/>
        <v>0.11213973799126641</v>
      </c>
      <c r="E9" s="34"/>
      <c r="F9" s="4">
        <v>5.4640000000000001E-2</v>
      </c>
      <c r="G9" s="4">
        <v>4.0000000000000001E-3</v>
      </c>
      <c r="H9" s="4">
        <v>-4.3258999999999997E-3</v>
      </c>
      <c r="I9" s="4">
        <v>1.039E-2</v>
      </c>
      <c r="J9" s="34"/>
      <c r="K9" s="4">
        <v>6.5949999999999995E-2</v>
      </c>
      <c r="L9" s="4">
        <v>9.3000000000000005E-4</v>
      </c>
      <c r="M9" s="4">
        <v>6.2E-4</v>
      </c>
      <c r="N9" s="4">
        <v>1.47E-4</v>
      </c>
      <c r="O9" s="4">
        <v>6.3179999999999998E-3</v>
      </c>
      <c r="P9" s="4">
        <v>-2.9119999999999998E-4</v>
      </c>
      <c r="Q9" s="70">
        <v>0</v>
      </c>
      <c r="R9" s="71">
        <f t="shared" si="0"/>
        <v>0.1383779</v>
      </c>
      <c r="S9" s="34">
        <f t="shared" si="1"/>
        <v>1.5517661449781664E-2</v>
      </c>
    </row>
    <row r="10" spans="2:19" x14ac:dyDescent="0.25">
      <c r="B10" s="34" t="s">
        <v>117</v>
      </c>
      <c r="C10" s="4">
        <v>5.73</v>
      </c>
      <c r="D10" s="1">
        <f t="shared" si="2"/>
        <v>0.10008733624454151</v>
      </c>
      <c r="E10" s="34"/>
      <c r="F10" s="4">
        <v>5.4640000000000001E-2</v>
      </c>
      <c r="G10" s="4">
        <v>4.0000000000000001E-3</v>
      </c>
      <c r="H10" s="4">
        <v>-4.2975000000000001E-3</v>
      </c>
      <c r="I10" s="4">
        <v>1.039E-2</v>
      </c>
      <c r="J10" s="34"/>
      <c r="K10" s="4">
        <v>6.5949999999999995E-2</v>
      </c>
      <c r="L10" s="4">
        <v>-2.163E-3</v>
      </c>
      <c r="M10" s="4">
        <v>6.2E-4</v>
      </c>
      <c r="N10" s="4">
        <v>1.47E-4</v>
      </c>
      <c r="O10" s="4">
        <v>6.3179999999999998E-3</v>
      </c>
      <c r="P10" s="4">
        <v>-2.9119999999999998E-4</v>
      </c>
      <c r="Q10" s="70">
        <v>0</v>
      </c>
      <c r="R10" s="71">
        <f t="shared" si="0"/>
        <v>0.1353133</v>
      </c>
      <c r="S10" s="34">
        <f t="shared" si="1"/>
        <v>1.3543147755458519E-2</v>
      </c>
    </row>
    <row r="11" spans="2:19" x14ac:dyDescent="0.25">
      <c r="B11" s="34" t="s">
        <v>118</v>
      </c>
      <c r="C11" s="4">
        <v>5.12</v>
      </c>
      <c r="D11" s="1">
        <f t="shared" si="2"/>
        <v>8.9432314410480371E-2</v>
      </c>
      <c r="E11" s="34"/>
      <c r="F11" s="4">
        <v>5.4640000000000001E-2</v>
      </c>
      <c r="G11" s="4">
        <v>4.0000000000000001E-3</v>
      </c>
      <c r="H11" s="4">
        <v>-3.7586999999999998E-3</v>
      </c>
      <c r="I11" s="4">
        <v>1.145E-2</v>
      </c>
      <c r="J11" s="34"/>
      <c r="K11" s="4">
        <v>7.2289999999999993E-2</v>
      </c>
      <c r="L11" s="4">
        <v>-2.7620000000000001E-3</v>
      </c>
      <c r="M11" s="4">
        <v>6.2E-4</v>
      </c>
      <c r="N11" s="4">
        <v>1.47E-4</v>
      </c>
      <c r="O11" s="4">
        <v>6.3179999999999998E-3</v>
      </c>
      <c r="P11" s="4">
        <v>-2.9119999999999998E-4</v>
      </c>
      <c r="Q11" s="70">
        <v>0</v>
      </c>
      <c r="R11" s="71">
        <f t="shared" si="0"/>
        <v>0.14265310000000003</v>
      </c>
      <c r="S11" s="34">
        <f t="shared" si="1"/>
        <v>1.27577968908297E-2</v>
      </c>
    </row>
    <row r="12" spans="2:19" x14ac:dyDescent="0.25">
      <c r="B12" s="34" t="s">
        <v>119</v>
      </c>
      <c r="C12" s="4">
        <v>4.09</v>
      </c>
      <c r="D12" s="1">
        <f t="shared" si="2"/>
        <v>7.1441048034934507E-2</v>
      </c>
      <c r="E12" s="34"/>
      <c r="F12" s="4">
        <v>6.1159999999999999E-2</v>
      </c>
      <c r="G12" s="4">
        <v>4.0000000000000001E-3</v>
      </c>
      <c r="H12" s="4">
        <v>-3.7586999999999998E-3</v>
      </c>
      <c r="I12" s="4">
        <v>1.145E-2</v>
      </c>
      <c r="J12" s="34"/>
      <c r="K12" s="4">
        <v>7.2289999999999993E-2</v>
      </c>
      <c r="L12" s="4">
        <v>-2.7620000000000001E-3</v>
      </c>
      <c r="M12" s="4">
        <v>6.2E-4</v>
      </c>
      <c r="N12" s="4">
        <v>1.47E-4</v>
      </c>
      <c r="O12" s="4">
        <v>6.3179999999999998E-3</v>
      </c>
      <c r="P12" s="4">
        <v>-2.9119999999999998E-4</v>
      </c>
      <c r="Q12" s="70">
        <v>0</v>
      </c>
      <c r="R12" s="71">
        <f t="shared" si="0"/>
        <v>0.1491731</v>
      </c>
      <c r="S12" s="34">
        <f t="shared" si="1"/>
        <v>1.0657082602620089E-2</v>
      </c>
    </row>
    <row r="13" spans="2:19" x14ac:dyDescent="0.25">
      <c r="B13" s="34" t="s">
        <v>120</v>
      </c>
      <c r="C13" s="4">
        <v>3.3</v>
      </c>
      <c r="D13" s="1">
        <f t="shared" si="2"/>
        <v>5.7641921397379926E-2</v>
      </c>
      <c r="E13" s="34"/>
      <c r="F13" s="4">
        <v>6.1159999999999999E-2</v>
      </c>
      <c r="G13" s="4">
        <v>4.0000000000000001E-3</v>
      </c>
      <c r="H13" s="4">
        <v>-4.8409000000000004E-3</v>
      </c>
      <c r="I13" s="4">
        <v>1.7940000000000001E-2</v>
      </c>
      <c r="J13" s="34"/>
      <c r="K13" s="4">
        <v>3.2590000000000001E-2</v>
      </c>
      <c r="L13" s="4">
        <v>-4.4840000000000001E-3</v>
      </c>
      <c r="M13" s="4">
        <v>6.2E-4</v>
      </c>
      <c r="N13" s="4">
        <v>1.2899999999999999E-4</v>
      </c>
      <c r="O13" s="4">
        <v>6.9239999999999996E-3</v>
      </c>
      <c r="P13" s="4">
        <v>-2.9119999999999998E-4</v>
      </c>
      <c r="Q13" s="70">
        <v>0</v>
      </c>
      <c r="R13" s="71">
        <f t="shared" si="0"/>
        <v>0.1137469</v>
      </c>
      <c r="S13" s="34">
        <f t="shared" si="1"/>
        <v>6.5565898689956348E-3</v>
      </c>
    </row>
    <row r="14" spans="2:19" x14ac:dyDescent="0.25">
      <c r="B14" s="34" t="s">
        <v>121</v>
      </c>
      <c r="C14" s="4">
        <v>2.66</v>
      </c>
      <c r="D14" s="1">
        <f t="shared" si="2"/>
        <v>4.6462882096069885E-2</v>
      </c>
      <c r="E14" s="34"/>
      <c r="F14" s="4">
        <v>6.1159999999999999E-2</v>
      </c>
      <c r="G14" s="4">
        <v>4.0000000000000001E-3</v>
      </c>
      <c r="H14" s="4">
        <v>-4.45E-3</v>
      </c>
      <c r="I14" s="4">
        <v>1.7940000000000001E-2</v>
      </c>
      <c r="J14" s="34"/>
      <c r="K14" s="4">
        <v>3.2590000000000001E-2</v>
      </c>
      <c r="L14" s="4">
        <v>-4.2119999999999996E-3</v>
      </c>
      <c r="M14" s="4">
        <v>6.2E-4</v>
      </c>
      <c r="N14" s="4">
        <v>1.2899999999999999E-4</v>
      </c>
      <c r="O14" s="4">
        <v>6.9239999999999996E-3</v>
      </c>
      <c r="P14" s="4">
        <v>-2.9119999999999998E-4</v>
      </c>
      <c r="Q14" s="70">
        <v>0</v>
      </c>
      <c r="R14" s="71">
        <f t="shared" si="0"/>
        <v>0.11440980000000001</v>
      </c>
      <c r="S14" s="34">
        <f t="shared" si="1"/>
        <v>5.3158090480349366E-3</v>
      </c>
    </row>
    <row r="15" spans="2:19" x14ac:dyDescent="0.25">
      <c r="B15" s="34"/>
      <c r="C15" s="34"/>
      <c r="D15" s="1"/>
      <c r="E15" s="34"/>
      <c r="F15" s="34"/>
      <c r="G15" s="34"/>
      <c r="H15" s="34"/>
      <c r="I15" s="34"/>
      <c r="J15" s="34"/>
      <c r="K15" s="34"/>
      <c r="L15" s="34"/>
      <c r="M15" s="34"/>
      <c r="N15" s="34"/>
      <c r="O15" s="34"/>
      <c r="P15" s="34"/>
      <c r="Q15" s="34"/>
      <c r="R15" s="71"/>
      <c r="S15" s="34"/>
    </row>
    <row r="16" spans="2:19" ht="15.75" thickBot="1" x14ac:dyDescent="0.3">
      <c r="B16" s="34"/>
      <c r="C16" s="34"/>
      <c r="D16" s="1"/>
      <c r="E16" s="34"/>
      <c r="F16" s="34"/>
      <c r="G16" s="34"/>
      <c r="H16" s="34"/>
      <c r="I16" s="34"/>
      <c r="J16" s="34"/>
      <c r="K16" s="34"/>
      <c r="L16" s="34"/>
      <c r="M16" s="34"/>
      <c r="N16" s="34"/>
      <c r="O16" s="34"/>
      <c r="P16" s="34"/>
      <c r="Q16" s="34"/>
      <c r="R16" s="71"/>
      <c r="S16" s="34"/>
    </row>
    <row r="17" spans="2:19" ht="16.5" thickTop="1" thickBot="1" x14ac:dyDescent="0.3">
      <c r="B17" s="34"/>
      <c r="C17" s="34"/>
      <c r="D17" s="1"/>
      <c r="E17" s="34"/>
      <c r="F17" s="34"/>
      <c r="G17" s="34"/>
      <c r="H17" s="34"/>
      <c r="I17" s="34"/>
      <c r="J17" s="34"/>
      <c r="K17" s="34"/>
      <c r="L17" s="34"/>
      <c r="M17" s="34" t="s">
        <v>133</v>
      </c>
      <c r="N17" s="34" t="s">
        <v>134</v>
      </c>
      <c r="O17" s="34"/>
      <c r="P17" s="34"/>
      <c r="Q17" s="34" t="s">
        <v>140</v>
      </c>
      <c r="R17" s="71"/>
      <c r="S17" s="68">
        <f>SUM(S3:S14)</f>
        <v>0.12565529954585158</v>
      </c>
    </row>
    <row r="18" spans="2:19" ht="15.75" thickTop="1" x14ac:dyDescent="0.25"/>
    <row r="20" spans="2:19" x14ac:dyDescent="0.25">
      <c r="B20" s="4" t="s">
        <v>168</v>
      </c>
      <c r="C20" s="4"/>
      <c r="D20" s="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CA5A7-99C1-489A-9236-D688E352F71E}">
  <sheetPr>
    <tabColor rgb="FFFFC000"/>
  </sheetPr>
  <dimension ref="B2:S20"/>
  <sheetViews>
    <sheetView workbookViewId="0">
      <selection activeCell="B20" sqref="B20:D20"/>
    </sheetView>
  </sheetViews>
  <sheetFormatPr defaultRowHeight="15" x14ac:dyDescent="0.25"/>
  <cols>
    <col min="3" max="3" width="11.28515625" customWidth="1"/>
    <col min="7" max="8" width="12.28515625" customWidth="1"/>
    <col min="15" max="15" width="11.42578125" customWidth="1"/>
    <col min="16" max="16" width="10.85546875" customWidth="1"/>
    <col min="19" max="19" width="11.85546875" customWidth="1"/>
  </cols>
  <sheetData>
    <row r="2" spans="2:19" ht="90" x14ac:dyDescent="0.25">
      <c r="B2" s="45"/>
      <c r="C2" s="64" t="s">
        <v>95</v>
      </c>
      <c r="D2" s="65" t="s">
        <v>96</v>
      </c>
      <c r="E2" s="45"/>
      <c r="F2" s="45" t="s">
        <v>97</v>
      </c>
      <c r="G2" s="45" t="s">
        <v>98</v>
      </c>
      <c r="H2" s="45" t="s">
        <v>99</v>
      </c>
      <c r="I2" s="45"/>
      <c r="J2" s="45" t="s">
        <v>100</v>
      </c>
      <c r="K2" s="45" t="s">
        <v>101</v>
      </c>
      <c r="L2" s="45" t="s">
        <v>102</v>
      </c>
      <c r="M2" s="45" t="s">
        <v>103</v>
      </c>
      <c r="N2" s="45" t="s">
        <v>104</v>
      </c>
      <c r="O2" s="45" t="s">
        <v>105</v>
      </c>
      <c r="P2" s="66" t="s">
        <v>106</v>
      </c>
      <c r="Q2" s="45" t="s">
        <v>107</v>
      </c>
      <c r="R2" s="67" t="s">
        <v>108</v>
      </c>
      <c r="S2" s="67" t="s">
        <v>109</v>
      </c>
    </row>
    <row r="3" spans="2:19" x14ac:dyDescent="0.25">
      <c r="B3" s="34" t="s">
        <v>110</v>
      </c>
      <c r="C3" s="4">
        <v>230.9</v>
      </c>
      <c r="D3" s="1">
        <f>C3/SUM($C$3:$C$14)</f>
        <v>4.9343932982861057E-2</v>
      </c>
      <c r="E3" s="34"/>
      <c r="F3" s="4">
        <v>6.1350000000000002E-2</v>
      </c>
      <c r="G3" s="4">
        <v>3.96E-3</v>
      </c>
      <c r="H3" s="4">
        <v>3.0300000000000001E-3</v>
      </c>
      <c r="I3" s="34"/>
      <c r="J3" s="4">
        <v>1.796E-2</v>
      </c>
      <c r="K3" s="4">
        <v>-1.82E-3</v>
      </c>
      <c r="L3" s="4">
        <v>1.47E-4</v>
      </c>
      <c r="M3" s="4">
        <v>7.1700000000000002E-3</v>
      </c>
      <c r="N3" s="4">
        <v>6.2E-4</v>
      </c>
      <c r="O3" s="4">
        <v>5.9999999999999995E-4</v>
      </c>
      <c r="P3" s="4">
        <v>1.242E-2</v>
      </c>
      <c r="Q3" s="34">
        <v>0</v>
      </c>
      <c r="R3" s="34">
        <f t="shared" ref="R3:R14" si="0">SUM(F3:Q3)</f>
        <v>0.105437</v>
      </c>
      <c r="S3" s="34">
        <f t="shared" ref="S3:S14" si="1">R3*D3</f>
        <v>5.2026762619139209E-3</v>
      </c>
    </row>
    <row r="4" spans="2:19" x14ac:dyDescent="0.25">
      <c r="B4" s="34" t="s">
        <v>111</v>
      </c>
      <c r="C4" s="4">
        <v>285.3</v>
      </c>
      <c r="D4" s="1">
        <f t="shared" ref="D4:D14" si="2">C4/SUM($C$3:$C$14)</f>
        <v>6.0969355045518661E-2</v>
      </c>
      <c r="E4" s="34"/>
      <c r="F4" s="4">
        <v>6.1350000000000002E-2</v>
      </c>
      <c r="G4" s="4">
        <v>3.96E-3</v>
      </c>
      <c r="H4" s="4">
        <v>3.0300000000000001E-3</v>
      </c>
      <c r="I4" s="34"/>
      <c r="J4" s="4">
        <v>1.796E-2</v>
      </c>
      <c r="K4" s="4">
        <v>-1.82E-3</v>
      </c>
      <c r="L4" s="4">
        <v>1.47E-4</v>
      </c>
      <c r="M4" s="4">
        <v>7.1700000000000002E-3</v>
      </c>
      <c r="N4" s="4">
        <v>6.2E-4</v>
      </c>
      <c r="O4" s="4">
        <v>5.9999999999999995E-4</v>
      </c>
      <c r="P4" s="4">
        <v>1.242E-2</v>
      </c>
      <c r="Q4" s="34">
        <v>0</v>
      </c>
      <c r="R4" s="34">
        <f t="shared" si="0"/>
        <v>0.105437</v>
      </c>
      <c r="S4" s="34">
        <f t="shared" si="1"/>
        <v>6.4284258879343517E-3</v>
      </c>
    </row>
    <row r="5" spans="2:19" x14ac:dyDescent="0.25">
      <c r="B5" s="34" t="s">
        <v>112</v>
      </c>
      <c r="C5" s="4">
        <v>433.8</v>
      </c>
      <c r="D5" s="1">
        <f t="shared" si="2"/>
        <v>9.270419284523658E-2</v>
      </c>
      <c r="E5" s="34"/>
      <c r="F5" s="4">
        <v>6.1350000000000002E-2</v>
      </c>
      <c r="G5" s="4">
        <v>3.96E-3</v>
      </c>
      <c r="H5" s="4">
        <v>3.0300000000000001E-3</v>
      </c>
      <c r="I5" s="34"/>
      <c r="J5" s="4">
        <v>1.796E-2</v>
      </c>
      <c r="K5" s="4">
        <v>-1.82E-3</v>
      </c>
      <c r="L5" s="4">
        <v>1.47E-4</v>
      </c>
      <c r="M5" s="4">
        <v>7.1700000000000002E-3</v>
      </c>
      <c r="N5" s="4">
        <v>6.2E-4</v>
      </c>
      <c r="O5" s="4">
        <v>5.9999999999999995E-4</v>
      </c>
      <c r="P5" s="4">
        <v>1.242E-2</v>
      </c>
      <c r="Q5" s="34">
        <v>0</v>
      </c>
      <c r="R5" s="34">
        <f t="shared" si="0"/>
        <v>0.105437</v>
      </c>
      <c r="S5" s="34">
        <f t="shared" si="1"/>
        <v>9.7744519810232088E-3</v>
      </c>
    </row>
    <row r="6" spans="2:19" x14ac:dyDescent="0.25">
      <c r="B6" s="34" t="s">
        <v>113</v>
      </c>
      <c r="C6" s="4">
        <v>397</v>
      </c>
      <c r="D6" s="1">
        <f t="shared" si="2"/>
        <v>8.4839936744027025E-2</v>
      </c>
      <c r="E6" s="34"/>
      <c r="F6" s="4">
        <v>6.1350000000000002E-2</v>
      </c>
      <c r="G6" s="4">
        <v>3.96E-3</v>
      </c>
      <c r="H6" s="4">
        <v>3.0300000000000001E-3</v>
      </c>
      <c r="I6" s="34"/>
      <c r="J6" s="4">
        <v>1.796E-2</v>
      </c>
      <c r="K6" s="4">
        <v>-1.82E-3</v>
      </c>
      <c r="L6" s="4">
        <v>1.47E-4</v>
      </c>
      <c r="M6" s="4">
        <v>7.1700000000000002E-3</v>
      </c>
      <c r="N6" s="4">
        <v>6.2E-4</v>
      </c>
      <c r="O6" s="4">
        <v>5.9999999999999995E-4</v>
      </c>
      <c r="P6" s="4">
        <v>1.242E-2</v>
      </c>
      <c r="Q6" s="34">
        <v>0</v>
      </c>
      <c r="R6" s="34">
        <f t="shared" si="0"/>
        <v>0.105437</v>
      </c>
      <c r="S6" s="34">
        <f t="shared" si="1"/>
        <v>8.9452684104799774E-3</v>
      </c>
    </row>
    <row r="7" spans="2:19" x14ac:dyDescent="0.25">
      <c r="B7" s="34" t="s">
        <v>114</v>
      </c>
      <c r="C7" s="73">
        <v>534.4</v>
      </c>
      <c r="D7" s="1">
        <f t="shared" si="2"/>
        <v>0.1142026755566953</v>
      </c>
      <c r="E7" s="34"/>
      <c r="F7" s="4">
        <v>6.1350000000000002E-2</v>
      </c>
      <c r="G7" s="4">
        <v>3.96E-3</v>
      </c>
      <c r="H7" s="4">
        <v>3.0300000000000001E-3</v>
      </c>
      <c r="I7" s="34"/>
      <c r="J7" s="4">
        <v>1.796E-2</v>
      </c>
      <c r="K7" s="4">
        <v>-1.82E-3</v>
      </c>
      <c r="L7" s="4">
        <v>1.47E-4</v>
      </c>
      <c r="M7" s="4">
        <v>7.1700000000000002E-3</v>
      </c>
      <c r="N7" s="4">
        <v>6.2E-4</v>
      </c>
      <c r="O7" s="4">
        <v>5.9999999999999995E-4</v>
      </c>
      <c r="P7" s="4">
        <v>1.242E-2</v>
      </c>
      <c r="Q7" s="34">
        <v>0</v>
      </c>
      <c r="R7" s="34">
        <f t="shared" si="0"/>
        <v>0.105437</v>
      </c>
      <c r="S7" s="34">
        <f t="shared" si="1"/>
        <v>1.2041187502671283E-2</v>
      </c>
    </row>
    <row r="8" spans="2:19" x14ac:dyDescent="0.25">
      <c r="B8" s="34" t="s">
        <v>115</v>
      </c>
      <c r="C8" s="73">
        <v>560</v>
      </c>
      <c r="D8" s="1">
        <f t="shared" si="2"/>
        <v>0.11967346240971066</v>
      </c>
      <c r="E8" s="34"/>
      <c r="F8" s="4">
        <v>5.815E-2</v>
      </c>
      <c r="G8" s="4">
        <v>3.96E-3</v>
      </c>
      <c r="H8" s="4">
        <v>3.7699999999999999E-3</v>
      </c>
      <c r="I8" s="34"/>
      <c r="J8" s="4">
        <v>1.796E-2</v>
      </c>
      <c r="K8" s="4">
        <v>-1.9400000000000001E-3</v>
      </c>
      <c r="L8" s="4">
        <v>1.47E-4</v>
      </c>
      <c r="M8" s="4">
        <v>7.1700000000000002E-3</v>
      </c>
      <c r="N8" s="4">
        <v>6.2E-4</v>
      </c>
      <c r="O8" s="4">
        <v>5.9999999999999995E-4</v>
      </c>
      <c r="P8" s="4">
        <v>1.242E-2</v>
      </c>
      <c r="Q8" s="34">
        <v>0</v>
      </c>
      <c r="R8" s="34">
        <f t="shared" si="0"/>
        <v>0.10285699999999999</v>
      </c>
      <c r="S8" s="34">
        <f t="shared" si="1"/>
        <v>1.2309253323075609E-2</v>
      </c>
    </row>
    <row r="9" spans="2:19" x14ac:dyDescent="0.25">
      <c r="B9" s="34" t="s">
        <v>116</v>
      </c>
      <c r="C9" s="73">
        <v>558.1</v>
      </c>
      <c r="D9" s="1">
        <f t="shared" si="2"/>
        <v>0.11926742744796343</v>
      </c>
      <c r="E9" s="34"/>
      <c r="F9" s="4">
        <v>5.815E-2</v>
      </c>
      <c r="G9" s="4">
        <v>3.96E-3</v>
      </c>
      <c r="H9" s="4">
        <v>3.7699999999999999E-3</v>
      </c>
      <c r="I9" s="34"/>
      <c r="J9" s="4">
        <v>1.796E-2</v>
      </c>
      <c r="K9" s="4">
        <v>-1.9400000000000001E-3</v>
      </c>
      <c r="L9" s="4">
        <v>1.47E-4</v>
      </c>
      <c r="M9" s="4">
        <v>7.1700000000000002E-3</v>
      </c>
      <c r="N9" s="4">
        <v>6.2E-4</v>
      </c>
      <c r="O9" s="4">
        <v>5.9999999999999995E-4</v>
      </c>
      <c r="P9" s="4">
        <v>1.242E-2</v>
      </c>
      <c r="Q9" s="34">
        <v>0</v>
      </c>
      <c r="R9" s="34">
        <f t="shared" si="0"/>
        <v>0.10285699999999999</v>
      </c>
      <c r="S9" s="34">
        <f t="shared" si="1"/>
        <v>1.2267489785015172E-2</v>
      </c>
    </row>
    <row r="10" spans="2:19" x14ac:dyDescent="0.25">
      <c r="B10" s="34" t="s">
        <v>117</v>
      </c>
      <c r="C10" s="73">
        <v>509.2</v>
      </c>
      <c r="D10" s="1">
        <f t="shared" si="2"/>
        <v>0.10881736974825833</v>
      </c>
      <c r="E10" s="34"/>
      <c r="F10" s="4">
        <v>5.815E-2</v>
      </c>
      <c r="G10" s="4">
        <v>3.96E-3</v>
      </c>
      <c r="H10" s="4">
        <v>3.7699999999999999E-3</v>
      </c>
      <c r="I10" s="34"/>
      <c r="J10" s="4">
        <v>1.796E-2</v>
      </c>
      <c r="K10" s="4">
        <v>-1.9400000000000001E-3</v>
      </c>
      <c r="L10" s="4">
        <v>1.47E-4</v>
      </c>
      <c r="M10" s="4">
        <v>7.1700000000000002E-3</v>
      </c>
      <c r="N10" s="4">
        <v>6.2E-4</v>
      </c>
      <c r="O10" s="4">
        <v>5.9999999999999995E-4</v>
      </c>
      <c r="P10" s="4">
        <v>1.242E-2</v>
      </c>
      <c r="Q10" s="34">
        <v>0</v>
      </c>
      <c r="R10" s="34">
        <f t="shared" si="0"/>
        <v>0.10285699999999999</v>
      </c>
      <c r="S10" s="34">
        <f t="shared" si="1"/>
        <v>1.1192628200196605E-2</v>
      </c>
    </row>
    <row r="11" spans="2:19" x14ac:dyDescent="0.25">
      <c r="B11" s="34" t="s">
        <v>118</v>
      </c>
      <c r="C11" s="73">
        <v>419</v>
      </c>
      <c r="D11" s="1">
        <f t="shared" si="2"/>
        <v>8.9541394195837079E-2</v>
      </c>
      <c r="E11" s="34"/>
      <c r="F11" s="4">
        <v>5.815E-2</v>
      </c>
      <c r="G11" s="4">
        <v>3.96E-3</v>
      </c>
      <c r="H11" s="4">
        <v>3.7699999999999999E-3</v>
      </c>
      <c r="I11" s="34"/>
      <c r="J11" s="4">
        <v>1.796E-2</v>
      </c>
      <c r="K11" s="4">
        <v>-1.9400000000000001E-3</v>
      </c>
      <c r="L11" s="4">
        <v>1.47E-4</v>
      </c>
      <c r="M11" s="4">
        <v>7.1700000000000002E-3</v>
      </c>
      <c r="N11" s="4">
        <v>6.2E-4</v>
      </c>
      <c r="O11" s="4">
        <v>5.9999999999999995E-4</v>
      </c>
      <c r="P11" s="4">
        <v>1.242E-2</v>
      </c>
      <c r="Q11" s="34">
        <v>0</v>
      </c>
      <c r="R11" s="34">
        <f t="shared" si="0"/>
        <v>0.10285699999999999</v>
      </c>
      <c r="S11" s="34">
        <f t="shared" si="1"/>
        <v>9.2099591828012136E-3</v>
      </c>
    </row>
    <row r="12" spans="2:19" x14ac:dyDescent="0.25">
      <c r="B12" s="34" t="s">
        <v>119</v>
      </c>
      <c r="C12" s="73">
        <v>329.3</v>
      </c>
      <c r="D12" s="1">
        <f t="shared" si="2"/>
        <v>7.0372269949138783E-2</v>
      </c>
      <c r="E12" s="34"/>
      <c r="F12" s="4">
        <v>6.1350000000000002E-2</v>
      </c>
      <c r="G12" s="4">
        <v>3.96E-3</v>
      </c>
      <c r="H12" s="4">
        <v>7.8100000000000001E-3</v>
      </c>
      <c r="I12" s="34"/>
      <c r="J12" s="4">
        <v>1.796E-2</v>
      </c>
      <c r="K12" s="4">
        <v>-1.7799999999999999E-3</v>
      </c>
      <c r="L12" s="4">
        <v>1.47E-4</v>
      </c>
      <c r="M12" s="4">
        <v>7.1700000000000002E-3</v>
      </c>
      <c r="N12" s="4">
        <v>6.2E-4</v>
      </c>
      <c r="O12" s="4">
        <v>5.9999999999999995E-4</v>
      </c>
      <c r="P12" s="4">
        <v>1.242E-2</v>
      </c>
      <c r="Q12" s="34">
        <v>0</v>
      </c>
      <c r="R12" s="34">
        <f t="shared" si="0"/>
        <v>0.11025699999999999</v>
      </c>
      <c r="S12" s="34">
        <f t="shared" si="1"/>
        <v>7.7590353677821945E-3</v>
      </c>
    </row>
    <row r="13" spans="2:19" x14ac:dyDescent="0.25">
      <c r="B13" s="34" t="s">
        <v>120</v>
      </c>
      <c r="C13" s="73">
        <v>227.7</v>
      </c>
      <c r="D13" s="1">
        <f t="shared" si="2"/>
        <v>4.8660084626234133E-2</v>
      </c>
      <c r="E13" s="34"/>
      <c r="F13" s="4">
        <v>6.1350000000000002E-2</v>
      </c>
      <c r="G13" s="4">
        <v>3.96E-3</v>
      </c>
      <c r="H13" s="4">
        <v>7.8100000000000001E-3</v>
      </c>
      <c r="I13" s="34"/>
      <c r="J13" s="4">
        <v>1.796E-2</v>
      </c>
      <c r="K13" s="4">
        <v>-1.7799999999999999E-3</v>
      </c>
      <c r="L13" s="4">
        <v>1.47E-4</v>
      </c>
      <c r="M13" s="4">
        <v>7.1700000000000002E-3</v>
      </c>
      <c r="N13" s="4">
        <v>6.2E-4</v>
      </c>
      <c r="O13" s="4">
        <v>5.9999999999999995E-4</v>
      </c>
      <c r="P13" s="4">
        <v>1.242E-2</v>
      </c>
      <c r="Q13" s="34">
        <v>0</v>
      </c>
      <c r="R13" s="34">
        <f t="shared" si="0"/>
        <v>0.11025699999999999</v>
      </c>
      <c r="S13" s="34">
        <f t="shared" si="1"/>
        <v>5.3651149506346967E-3</v>
      </c>
    </row>
    <row r="14" spans="2:19" x14ac:dyDescent="0.25">
      <c r="B14" s="34" t="s">
        <v>121</v>
      </c>
      <c r="C14" s="73">
        <v>194.7</v>
      </c>
      <c r="D14" s="1">
        <f t="shared" si="2"/>
        <v>4.1607898448519039E-2</v>
      </c>
      <c r="E14" s="34"/>
      <c r="F14" s="4">
        <v>6.1350000000000002E-2</v>
      </c>
      <c r="G14" s="4">
        <v>3.96E-3</v>
      </c>
      <c r="H14" s="4">
        <v>7.8100000000000001E-3</v>
      </c>
      <c r="I14" s="34"/>
      <c r="J14" s="4">
        <v>1.796E-2</v>
      </c>
      <c r="K14" s="4">
        <v>-1.7799999999999999E-3</v>
      </c>
      <c r="L14" s="4">
        <v>1.47E-4</v>
      </c>
      <c r="M14" s="4">
        <v>7.1700000000000002E-3</v>
      </c>
      <c r="N14" s="4">
        <v>6.2E-4</v>
      </c>
      <c r="O14" s="4">
        <v>5.9999999999999995E-4</v>
      </c>
      <c r="P14" s="4">
        <v>1.242E-2</v>
      </c>
      <c r="Q14" s="34">
        <v>0</v>
      </c>
      <c r="R14" s="34">
        <f t="shared" si="0"/>
        <v>0.11025699999999999</v>
      </c>
      <c r="S14" s="34">
        <f t="shared" si="1"/>
        <v>4.5875620592383632E-3</v>
      </c>
    </row>
    <row r="15" spans="2:19" x14ac:dyDescent="0.25">
      <c r="B15" s="34"/>
      <c r="C15" s="34"/>
      <c r="D15" s="1"/>
      <c r="E15" s="34"/>
      <c r="F15" s="34"/>
      <c r="G15" s="34"/>
      <c r="H15" s="34"/>
      <c r="I15" s="34"/>
      <c r="J15" s="34"/>
      <c r="K15" s="34"/>
      <c r="L15" s="34"/>
      <c r="M15" s="34"/>
      <c r="N15" s="34"/>
      <c r="O15" s="34"/>
      <c r="P15" s="34"/>
      <c r="Q15" s="34"/>
      <c r="R15" s="34"/>
      <c r="S15" s="34"/>
    </row>
    <row r="16" spans="2:19" ht="15.75" thickBot="1" x14ac:dyDescent="0.3">
      <c r="B16" s="34"/>
      <c r="C16" s="34"/>
      <c r="D16" s="1"/>
      <c r="E16" s="34"/>
      <c r="F16" s="34"/>
      <c r="G16" s="34"/>
      <c r="H16" s="34"/>
      <c r="I16" s="34"/>
      <c r="J16" s="34"/>
      <c r="K16" s="34"/>
      <c r="L16" s="34"/>
      <c r="M16" s="34"/>
      <c r="N16" s="34"/>
      <c r="O16" s="34"/>
      <c r="P16" s="34"/>
      <c r="Q16" s="34"/>
      <c r="R16" s="34"/>
      <c r="S16" s="34"/>
    </row>
    <row r="17" spans="2:19" ht="16.5" thickTop="1" thickBot="1" x14ac:dyDescent="0.3">
      <c r="B17" s="34"/>
      <c r="C17" s="34"/>
      <c r="D17" s="1"/>
      <c r="E17" s="34"/>
      <c r="F17" s="34"/>
      <c r="G17" s="34"/>
      <c r="H17" s="34"/>
      <c r="I17" s="34"/>
      <c r="J17" s="34"/>
      <c r="K17" s="34"/>
      <c r="L17" s="34"/>
      <c r="M17" s="34" t="s">
        <v>138</v>
      </c>
      <c r="N17" s="34"/>
      <c r="O17" s="34"/>
      <c r="P17" s="34"/>
      <c r="Q17" s="34" t="s">
        <v>140</v>
      </c>
      <c r="R17" s="34"/>
      <c r="S17" s="68">
        <f>SUM(S3:S14)</f>
        <v>0.10508305291276659</v>
      </c>
    </row>
    <row r="18" spans="2:19" ht="15.75" thickTop="1" x14ac:dyDescent="0.25"/>
    <row r="20" spans="2:19" x14ac:dyDescent="0.25">
      <c r="B20" s="4" t="s">
        <v>168</v>
      </c>
      <c r="C20" s="4"/>
      <c r="D20"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148AAE66E00A4896E3F9FCB2FC0691" ma:contentTypeVersion="1" ma:contentTypeDescription="Create a new document." ma:contentTypeScope="" ma:versionID="b3551181b9de853868a9ed369d3638c0">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091D59-1C09-4A39-BBBA-1E99A3748C90}"/>
</file>

<file path=customXml/itemProps2.xml><?xml version="1.0" encoding="utf-8"?>
<ds:datastoreItem xmlns:ds="http://schemas.openxmlformats.org/officeDocument/2006/customXml" ds:itemID="{9EE90249-68C5-4B53-BFA1-F32821B138AA}"/>
</file>

<file path=customXml/itemProps3.xml><?xml version="1.0" encoding="utf-8"?>
<ds:datastoreItem xmlns:ds="http://schemas.openxmlformats.org/officeDocument/2006/customXml" ds:itemID="{9B446524-0D31-48A4-8B7D-DAEC450F77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Application</vt:lpstr>
      <vt:lpstr>Instructions </vt:lpstr>
      <vt:lpstr>Proposed Incentive Calculation</vt:lpstr>
      <vt:lpstr>PE Rate Calc Example</vt:lpstr>
      <vt:lpstr>BGE Rate Calc Example</vt:lpstr>
      <vt:lpstr>Pepco Rate Calc Example</vt:lpstr>
      <vt:lpstr>DPL Rate Calc Example</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Comis</dc:creator>
  <cp:lastModifiedBy>David Comis</cp:lastModifiedBy>
  <cp:lastPrinted>2018-03-01T19:54:18Z</cp:lastPrinted>
  <dcterms:created xsi:type="dcterms:W3CDTF">2018-02-13T19:26:32Z</dcterms:created>
  <dcterms:modified xsi:type="dcterms:W3CDTF">2022-08-06T18:36:56Z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0x01010042148AAE66E00A4896E3F9FCB2FC0691</vt:lpwstr>
  </property>
</Properties>
</file>