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1.xml" ContentType="application/vnd.openxmlformats-officedocument.spreadsheetml.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Shared Files\Program Team\RE and Transpo\Solar\CommSolar Grant Prog\FY26\Website and FOA\"/>
    </mc:Choice>
  </mc:AlternateContent>
  <xr:revisionPtr revIDLastSave="0" documentId="13_ncr:1_{6B41117A-0D54-47B6-8A57-F7A287BBD4C6}" xr6:coauthVersionLast="47" xr6:coauthVersionMax="47" xr10:uidLastSave="{00000000-0000-0000-0000-000000000000}"/>
  <bookViews>
    <workbookView xWindow="-108" yWindow="-108" windowWidth="23256" windowHeight="13896" tabRatio="687" activeTab="5" xr2:uid="{00000000-000D-0000-FFFF-FFFF00000000}"/>
  </bookViews>
  <sheets>
    <sheet name="Application (Sign)" sheetId="5" r:id="rId1"/>
    <sheet name="Attestations (Sign)" sheetId="18" r:id="rId2"/>
    <sheet name="Instructions AOI-1" sheetId="14" r:id="rId3"/>
    <sheet name="AOI-1 Incentive Calc" sheetId="11" r:id="rId4"/>
    <sheet name="Instructions AOI-2" sheetId="15" r:id="rId5"/>
    <sheet name="AOI-2 Incentive Calc" sheetId="12" r:id="rId6"/>
    <sheet name="Instructions Rate Calc" sheetId="17" r:id="rId7"/>
    <sheet name="PE Rate Calc Example" sheetId="7" r:id="rId8"/>
    <sheet name="BGE Rate Calc Example" sheetId="9" r:id="rId9"/>
    <sheet name="Pepco Rate Calc Example" sheetId="8" r:id="rId10"/>
    <sheet name="DPL Rate Calc Example" sheetId="10" r:id="rId11"/>
    <sheet name="(Optional) AOI-2 calc sheet" sheetId="13" r:id="rId12"/>
  </sheets>
  <definedNames>
    <definedName name="_xlnm.Print_Area" localSheetId="1">'Attestations (Sign)'!$B$1:$B$16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2" l="1"/>
  <c r="C34" i="11"/>
  <c r="E54" i="13"/>
  <c r="E53" i="13"/>
  <c r="E52" i="13"/>
  <c r="K50" i="13"/>
  <c r="L50" i="13" s="1"/>
  <c r="M50" i="13" s="1"/>
  <c r="N50" i="13" s="1"/>
  <c r="O50" i="13" s="1"/>
  <c r="P50" i="13" s="1"/>
  <c r="Q50" i="13" s="1"/>
  <c r="R50" i="13" s="1"/>
  <c r="S50" i="13" s="1"/>
  <c r="T50" i="13" s="1"/>
  <c r="U50" i="13" s="1"/>
  <c r="V50" i="13" s="1"/>
  <c r="W50" i="13" s="1"/>
  <c r="X50" i="13" s="1"/>
  <c r="Y50" i="13" s="1"/>
  <c r="Z50" i="13" s="1"/>
  <c r="AA50" i="13" s="1"/>
  <c r="AB50" i="13" s="1"/>
  <c r="AC50" i="13" s="1"/>
  <c r="AD50" i="13" s="1"/>
  <c r="AE50" i="13" s="1"/>
  <c r="AF50" i="13" s="1"/>
  <c r="AG50" i="13" s="1"/>
  <c r="AH50" i="13" s="1"/>
  <c r="E50" i="13"/>
  <c r="F50" i="13" s="1"/>
  <c r="G50" i="13" s="1"/>
  <c r="H50" i="13" s="1"/>
  <c r="I50" i="13" s="1"/>
  <c r="J50" i="13" s="1"/>
  <c r="E49" i="13"/>
  <c r="F49" i="13" s="1"/>
  <c r="G49" i="13" s="1"/>
  <c r="H49" i="13" s="1"/>
  <c r="I49" i="13" s="1"/>
  <c r="J49" i="13" s="1"/>
  <c r="K49" i="13" s="1"/>
  <c r="L49" i="13" s="1"/>
  <c r="M49" i="13" s="1"/>
  <c r="N49" i="13" s="1"/>
  <c r="O49" i="13" s="1"/>
  <c r="P49" i="13" s="1"/>
  <c r="Q49" i="13" s="1"/>
  <c r="R49" i="13" s="1"/>
  <c r="S49" i="13" s="1"/>
  <c r="T49" i="13" s="1"/>
  <c r="U49" i="13" s="1"/>
  <c r="V49" i="13" s="1"/>
  <c r="W49" i="13" s="1"/>
  <c r="X49" i="13" s="1"/>
  <c r="Y49" i="13" s="1"/>
  <c r="Z49" i="13" s="1"/>
  <c r="AA49" i="13" s="1"/>
  <c r="AB49" i="13" s="1"/>
  <c r="AC49" i="13" s="1"/>
  <c r="AD49" i="13" s="1"/>
  <c r="AE49" i="13" s="1"/>
  <c r="AF49" i="13" s="1"/>
  <c r="AG49" i="13" s="1"/>
  <c r="AH49" i="13" s="1"/>
  <c r="G48" i="13"/>
  <c r="H48" i="13" s="1"/>
  <c r="I48" i="13" s="1"/>
  <c r="J48" i="13" s="1"/>
  <c r="K48" i="13" s="1"/>
  <c r="L48" i="13" s="1"/>
  <c r="M48" i="13" s="1"/>
  <c r="N48" i="13" s="1"/>
  <c r="O48" i="13" s="1"/>
  <c r="P48" i="13" s="1"/>
  <c r="Q48" i="13" s="1"/>
  <c r="R48" i="13" s="1"/>
  <c r="S48" i="13" s="1"/>
  <c r="T48" i="13" s="1"/>
  <c r="U48" i="13" s="1"/>
  <c r="V48" i="13" s="1"/>
  <c r="W48" i="13" s="1"/>
  <c r="X48" i="13" s="1"/>
  <c r="Y48" i="13" s="1"/>
  <c r="Z48" i="13" s="1"/>
  <c r="AA48" i="13" s="1"/>
  <c r="AB48" i="13" s="1"/>
  <c r="AC48" i="13" s="1"/>
  <c r="AD48" i="13" s="1"/>
  <c r="AE48" i="13" s="1"/>
  <c r="AF48" i="13" s="1"/>
  <c r="AG48" i="13" s="1"/>
  <c r="AH48" i="13" s="1"/>
  <c r="F48" i="13"/>
  <c r="E48" i="13"/>
  <c r="F47" i="13"/>
  <c r="G47" i="13" s="1"/>
  <c r="E47" i="13"/>
  <c r="Y46" i="13"/>
  <c r="S46" i="13"/>
  <c r="X44" i="13"/>
  <c r="V44" i="13"/>
  <c r="U44" i="13"/>
  <c r="Y43" i="13"/>
  <c r="Y44" i="13" s="1"/>
  <c r="X43" i="13"/>
  <c r="W43" i="13"/>
  <c r="W44" i="13" s="1"/>
  <c r="V43" i="13"/>
  <c r="U43" i="13"/>
  <c r="T43" i="13"/>
  <c r="T44" i="13" s="1"/>
  <c r="S43" i="13"/>
  <c r="S44" i="13" s="1"/>
  <c r="T38" i="13"/>
  <c r="S38" i="13"/>
  <c r="Y37" i="13"/>
  <c r="Y38" i="13" s="1"/>
  <c r="X37" i="13"/>
  <c r="X38" i="13" s="1"/>
  <c r="X46" i="13" s="1"/>
  <c r="W37" i="13"/>
  <c r="W38" i="13" s="1"/>
  <c r="V37" i="13"/>
  <c r="V38" i="13" s="1"/>
  <c r="V46" i="13" s="1"/>
  <c r="U37" i="13"/>
  <c r="U38" i="13" s="1"/>
  <c r="T37" i="13"/>
  <c r="S37" i="13"/>
  <c r="B35" i="13"/>
  <c r="B36" i="13" s="1"/>
  <c r="B34" i="13"/>
  <c r="F34" i="13" s="1"/>
  <c r="V31" i="13"/>
  <c r="P31" i="13"/>
  <c r="N31" i="13"/>
  <c r="H31" i="13"/>
  <c r="B28" i="13"/>
  <c r="C28" i="13" s="1"/>
  <c r="A27" i="13"/>
  <c r="A26" i="13"/>
  <c r="A25" i="13"/>
  <c r="E24" i="13"/>
  <c r="AH22" i="13"/>
  <c r="AG22" i="13"/>
  <c r="AG31" i="13" s="1"/>
  <c r="AF22" i="13"/>
  <c r="AF31" i="13" s="1"/>
  <c r="AE22" i="13"/>
  <c r="AD22" i="13"/>
  <c r="AC22" i="13"/>
  <c r="AB22" i="13"/>
  <c r="AA22" i="13"/>
  <c r="AA31" i="13" s="1"/>
  <c r="Z22" i="13"/>
  <c r="Y22" i="13"/>
  <c r="Y31" i="13" s="1"/>
  <c r="X22" i="13"/>
  <c r="X31" i="13" s="1"/>
  <c r="W22" i="13"/>
  <c r="V22" i="13"/>
  <c r="U22" i="13"/>
  <c r="T22" i="13"/>
  <c r="S22" i="13"/>
  <c r="S31" i="13" s="1"/>
  <c r="R22" i="13"/>
  <c r="R31" i="13" s="1"/>
  <c r="Q22" i="13"/>
  <c r="P22" i="13"/>
  <c r="O22" i="13"/>
  <c r="N22" i="13"/>
  <c r="M22" i="13"/>
  <c r="L22" i="13"/>
  <c r="K22" i="13"/>
  <c r="K31" i="13" s="1"/>
  <c r="J22" i="13"/>
  <c r="J31" i="13" s="1"/>
  <c r="I22" i="13"/>
  <c r="H22" i="13"/>
  <c r="G22" i="13"/>
  <c r="F22" i="13"/>
  <c r="E22" i="13"/>
  <c r="E31" i="13" s="1"/>
  <c r="AD21" i="13"/>
  <c r="AC21" i="13"/>
  <c r="AB21" i="13"/>
  <c r="AA21" i="13"/>
  <c r="Y21" i="13"/>
  <c r="X21" i="13"/>
  <c r="V21" i="13"/>
  <c r="U21" i="13"/>
  <c r="P21" i="13"/>
  <c r="N21" i="13"/>
  <c r="M21" i="13"/>
  <c r="K21" i="13"/>
  <c r="J21" i="13"/>
  <c r="H21" i="13"/>
  <c r="G21" i="13"/>
  <c r="AH20" i="13"/>
  <c r="AH21" i="13" s="1"/>
  <c r="AG20" i="13"/>
  <c r="AG21" i="13" s="1"/>
  <c r="AF20" i="13"/>
  <c r="AF21" i="13" s="1"/>
  <c r="AE20" i="13"/>
  <c r="AE21" i="13" s="1"/>
  <c r="AE31" i="13" s="1"/>
  <c r="AD20" i="13"/>
  <c r="AC20" i="13"/>
  <c r="AB20" i="13"/>
  <c r="AA20" i="13"/>
  <c r="Z20" i="13"/>
  <c r="Z21" i="13" s="1"/>
  <c r="Y20" i="13"/>
  <c r="X20" i="13"/>
  <c r="W20" i="13"/>
  <c r="W21" i="13" s="1"/>
  <c r="V20" i="13"/>
  <c r="U20" i="13"/>
  <c r="T20" i="13"/>
  <c r="T21" i="13" s="1"/>
  <c r="S20" i="13"/>
  <c r="S21" i="13" s="1"/>
  <c r="R20" i="13"/>
  <c r="R21" i="13" s="1"/>
  <c r="Q20" i="13"/>
  <c r="Q21" i="13" s="1"/>
  <c r="Q31" i="13" s="1"/>
  <c r="P20" i="13"/>
  <c r="O20" i="13"/>
  <c r="O21" i="13" s="1"/>
  <c r="N20" i="13"/>
  <c r="M20" i="13"/>
  <c r="L20" i="13"/>
  <c r="L21" i="13" s="1"/>
  <c r="K20" i="13"/>
  <c r="J20" i="13"/>
  <c r="I20" i="13"/>
  <c r="I21" i="13" s="1"/>
  <c r="H20" i="13"/>
  <c r="G20" i="13"/>
  <c r="F20" i="13"/>
  <c r="F21" i="13" s="1"/>
  <c r="E20" i="13"/>
  <c r="E21" i="13" s="1"/>
  <c r="E30" i="13" s="1"/>
  <c r="F17" i="13"/>
  <c r="G17" i="13" s="1"/>
  <c r="H17" i="13" s="1"/>
  <c r="I17" i="13" s="1"/>
  <c r="J17" i="13" s="1"/>
  <c r="K17" i="13" s="1"/>
  <c r="L17" i="13" s="1"/>
  <c r="M17" i="13" s="1"/>
  <c r="N17" i="13" s="1"/>
  <c r="O17" i="13" s="1"/>
  <c r="P17" i="13" s="1"/>
  <c r="Q17" i="13" s="1"/>
  <c r="R17" i="13" s="1"/>
  <c r="S17" i="13" s="1"/>
  <c r="T17" i="13" s="1"/>
  <c r="U17" i="13" s="1"/>
  <c r="V17" i="13" s="1"/>
  <c r="W17" i="13" s="1"/>
  <c r="X17" i="13" s="1"/>
  <c r="Y17" i="13" s="1"/>
  <c r="Z17" i="13" s="1"/>
  <c r="AA17" i="13" s="1"/>
  <c r="AB17" i="13" s="1"/>
  <c r="AC17" i="13" s="1"/>
  <c r="AD17" i="13" s="1"/>
  <c r="AE17" i="13" s="1"/>
  <c r="AF17" i="13" s="1"/>
  <c r="AG17" i="13" s="1"/>
  <c r="AH17" i="13" s="1"/>
  <c r="F16" i="13"/>
  <c r="B8" i="13"/>
  <c r="D57" i="13" s="1"/>
  <c r="B4" i="13"/>
  <c r="F53" i="13" s="1"/>
  <c r="O31" i="13" l="1"/>
  <c r="G31" i="13"/>
  <c r="F52" i="13"/>
  <c r="F54" i="13" s="1"/>
  <c r="F24" i="13"/>
  <c r="F30" i="13" s="1"/>
  <c r="F32" i="13" s="1"/>
  <c r="F68" i="13" s="1"/>
  <c r="G16" i="13"/>
  <c r="I31" i="13"/>
  <c r="W31" i="13"/>
  <c r="F31" i="13"/>
  <c r="T31" i="13"/>
  <c r="AH31" i="13"/>
  <c r="L37" i="13"/>
  <c r="L38" i="13" s="1"/>
  <c r="K37" i="13"/>
  <c r="K38" i="13" s="1"/>
  <c r="J37" i="13"/>
  <c r="J38" i="13" s="1"/>
  <c r="B42" i="13"/>
  <c r="E37" i="13"/>
  <c r="AB31" i="13"/>
  <c r="AC31" i="13"/>
  <c r="G37" i="13"/>
  <c r="G38" i="13" s="1"/>
  <c r="H47" i="13"/>
  <c r="AD31" i="13"/>
  <c r="H37" i="13"/>
  <c r="H38" i="13" s="1"/>
  <c r="T46" i="13"/>
  <c r="U31" i="13"/>
  <c r="L31" i="13"/>
  <c r="Z31" i="13"/>
  <c r="M31" i="13"/>
  <c r="U46" i="13"/>
  <c r="G53" i="13"/>
  <c r="E32" i="13"/>
  <c r="E68" i="13" s="1"/>
  <c r="W46" i="13"/>
  <c r="G52" i="13" l="1"/>
  <c r="G54" i="13" s="1"/>
  <c r="H16" i="13"/>
  <c r="G24" i="13"/>
  <c r="G30" i="13" s="1"/>
  <c r="G32" i="13" s="1"/>
  <c r="H53" i="13"/>
  <c r="G68" i="13"/>
  <c r="E38" i="13"/>
  <c r="I47" i="13"/>
  <c r="I37" i="13"/>
  <c r="I38" i="13" s="1"/>
  <c r="F37" i="13"/>
  <c r="H43" i="13"/>
  <c r="H44" i="13" s="1"/>
  <c r="H46" i="13" s="1"/>
  <c r="F43" i="13"/>
  <c r="F44" i="13" s="1"/>
  <c r="G43" i="13"/>
  <c r="G44" i="13" s="1"/>
  <c r="G46" i="13" s="1"/>
  <c r="G57" i="13" s="1"/>
  <c r="E43" i="13"/>
  <c r="E44" i="13" s="1"/>
  <c r="J43" i="13"/>
  <c r="J44" i="13" s="1"/>
  <c r="J46" i="13" s="1"/>
  <c r="I43" i="13"/>
  <c r="I44" i="13" s="1"/>
  <c r="E46" i="13" l="1"/>
  <c r="E57" i="13" s="1"/>
  <c r="K43" i="13"/>
  <c r="K44" i="13" s="1"/>
  <c r="K46" i="13" s="1"/>
  <c r="L43" i="13"/>
  <c r="L44" i="13" s="1"/>
  <c r="L46" i="13" s="1"/>
  <c r="F38" i="13"/>
  <c r="F46" i="13" s="1"/>
  <c r="F57" i="13" s="1"/>
  <c r="M37" i="13"/>
  <c r="M43" i="13"/>
  <c r="M44" i="13" s="1"/>
  <c r="I46" i="13"/>
  <c r="J47" i="13"/>
  <c r="H52" i="13"/>
  <c r="H54" i="13" s="1"/>
  <c r="I16" i="13"/>
  <c r="H24" i="13"/>
  <c r="H30" i="13" s="1"/>
  <c r="H32" i="13" s="1"/>
  <c r="I53" i="13"/>
  <c r="H68" i="13"/>
  <c r="N43" i="13"/>
  <c r="N44" i="13" s="1"/>
  <c r="H58" i="13" l="1"/>
  <c r="F58" i="13"/>
  <c r="G58" i="13"/>
  <c r="E58" i="13"/>
  <c r="J16" i="13"/>
  <c r="J53" i="13"/>
  <c r="I52" i="13"/>
  <c r="I54" i="13" s="1"/>
  <c r="I24" i="13"/>
  <c r="I30" i="13" s="1"/>
  <c r="I32" i="13" s="1"/>
  <c r="I68" i="13" s="1"/>
  <c r="I57" i="13"/>
  <c r="P43" i="13"/>
  <c r="P44" i="13" s="1"/>
  <c r="O43" i="13"/>
  <c r="O44" i="13" s="1"/>
  <c r="M38" i="13"/>
  <c r="M46" i="13" s="1"/>
  <c r="N37" i="13"/>
  <c r="H57" i="13"/>
  <c r="K47" i="13"/>
  <c r="L47" i="13" l="1"/>
  <c r="N38" i="13"/>
  <c r="N46" i="13" s="1"/>
  <c r="Q37" i="13"/>
  <c r="Q38" i="13" s="1"/>
  <c r="Q46" i="13" s="1"/>
  <c r="O37" i="13"/>
  <c r="P37" i="13"/>
  <c r="P38" i="13" s="1"/>
  <c r="P46" i="13" s="1"/>
  <c r="R43" i="13"/>
  <c r="R44" i="13" s="1"/>
  <c r="K16" i="13"/>
  <c r="K53" i="13"/>
  <c r="J52" i="13"/>
  <c r="J54" i="13" s="1"/>
  <c r="J24" i="13"/>
  <c r="J30" i="13" s="1"/>
  <c r="I58" i="13"/>
  <c r="Q43" i="13"/>
  <c r="Q44" i="13" s="1"/>
  <c r="M47" i="13" l="1"/>
  <c r="O38" i="13"/>
  <c r="O46" i="13" s="1"/>
  <c r="Z43" i="13"/>
  <c r="J32" i="13"/>
  <c r="J68" i="13" s="1"/>
  <c r="J57" i="13"/>
  <c r="R37" i="13"/>
  <c r="R38" i="13" s="1"/>
  <c r="R46" i="13" s="1"/>
  <c r="L53" i="13"/>
  <c r="K52" i="13"/>
  <c r="K54" i="13" s="1"/>
  <c r="K24" i="13"/>
  <c r="K30" i="13" s="1"/>
  <c r="L16" i="13"/>
  <c r="Z37" i="13" l="1"/>
  <c r="L52" i="13"/>
  <c r="L54" i="13" s="1"/>
  <c r="M53" i="13"/>
  <c r="L24" i="13"/>
  <c r="L30" i="13" s="1"/>
  <c r="M16" i="13"/>
  <c r="AB37" i="13"/>
  <c r="J58" i="13"/>
  <c r="Z44" i="13"/>
  <c r="AA43" i="13"/>
  <c r="AA44" i="13" s="1"/>
  <c r="AB43" i="13"/>
  <c r="K32" i="13"/>
  <c r="K68" i="13" s="1"/>
  <c r="K57" i="13"/>
  <c r="AA37" i="13"/>
  <c r="AA38" i="13" s="1"/>
  <c r="N47" i="13"/>
  <c r="AB44" i="13" l="1"/>
  <c r="AC43" i="13"/>
  <c r="AB38" i="13"/>
  <c r="AB46" i="13" s="1"/>
  <c r="AC37" i="13"/>
  <c r="L32" i="13"/>
  <c r="L68" i="13" s="1"/>
  <c r="L57" i="13"/>
  <c r="AA46" i="13"/>
  <c r="K58" i="13"/>
  <c r="B59" i="13" s="1"/>
  <c r="M24" i="13"/>
  <c r="M30" i="13" s="1"/>
  <c r="M52" i="13"/>
  <c r="M54" i="13" s="1"/>
  <c r="N16" i="13"/>
  <c r="N53" i="13"/>
  <c r="O47" i="13"/>
  <c r="Z38" i="13"/>
  <c r="Z46" i="13" s="1"/>
  <c r="L58" i="13" l="1"/>
  <c r="N24" i="13"/>
  <c r="N30" i="13" s="1"/>
  <c r="N52" i="13"/>
  <c r="N54" i="13" s="1"/>
  <c r="O16" i="13"/>
  <c r="O53" i="13"/>
  <c r="P47" i="13"/>
  <c r="AC44" i="13"/>
  <c r="AD43" i="13"/>
  <c r="M32" i="13"/>
  <c r="M68" i="13" s="1"/>
  <c r="M57" i="13"/>
  <c r="AC38" i="13"/>
  <c r="AD37" i="13"/>
  <c r="AD44" i="13" l="1"/>
  <c r="AE43" i="13"/>
  <c r="Q47" i="13"/>
  <c r="O24" i="13"/>
  <c r="O30" i="13" s="1"/>
  <c r="P53" i="13"/>
  <c r="P16" i="13"/>
  <c r="O52" i="13"/>
  <c r="O54" i="13" s="1"/>
  <c r="AC46" i="13"/>
  <c r="M58" i="13"/>
  <c r="N32" i="13"/>
  <c r="N68" i="13" s="1"/>
  <c r="N57" i="13"/>
  <c r="N58" i="13" s="1"/>
  <c r="AD38" i="13"/>
  <c r="AD46" i="13" s="1"/>
  <c r="AE37" i="13"/>
  <c r="P24" i="13" l="1"/>
  <c r="P30" i="13" s="1"/>
  <c r="Q53" i="13"/>
  <c r="Q16" i="13"/>
  <c r="P52" i="13"/>
  <c r="P54" i="13" s="1"/>
  <c r="R47" i="13"/>
  <c r="AE38" i="13"/>
  <c r="AF37" i="13"/>
  <c r="AE44" i="13"/>
  <c r="AF43" i="13"/>
  <c r="O32" i="13"/>
  <c r="O68" i="13" s="1"/>
  <c r="O57" i="13"/>
  <c r="O58" i="13" s="1"/>
  <c r="S47" i="13" l="1"/>
  <c r="R53" i="13"/>
  <c r="Q24" i="13"/>
  <c r="Q30" i="13" s="1"/>
  <c r="Q52" i="13"/>
  <c r="Q54" i="13" s="1"/>
  <c r="R16" i="13"/>
  <c r="AE46" i="13"/>
  <c r="AF38" i="13"/>
  <c r="AG37" i="13"/>
  <c r="AF44" i="13"/>
  <c r="AG43" i="13"/>
  <c r="P32" i="13"/>
  <c r="P68" i="13" s="1"/>
  <c r="P57" i="13"/>
  <c r="P58" i="13" s="1"/>
  <c r="S53" i="13" l="1"/>
  <c r="R52" i="13"/>
  <c r="R54" i="13" s="1"/>
  <c r="R24" i="13"/>
  <c r="R30" i="13" s="1"/>
  <c r="S16" i="13"/>
  <c r="AG44" i="13"/>
  <c r="AH43" i="13"/>
  <c r="AH44" i="13" s="1"/>
  <c r="AF46" i="13"/>
  <c r="Q32" i="13"/>
  <c r="Q68" i="13" s="1"/>
  <c r="Q57" i="13"/>
  <c r="Q58" i="13" s="1"/>
  <c r="T47" i="13"/>
  <c r="AG38" i="13"/>
  <c r="AG46" i="13" s="1"/>
  <c r="AH37" i="13"/>
  <c r="AH38" i="13" s="1"/>
  <c r="AH46" i="13" s="1"/>
  <c r="R32" i="13" l="1"/>
  <c r="R68" i="13" s="1"/>
  <c r="R57" i="13"/>
  <c r="R58" i="13" s="1"/>
  <c r="U47" i="13"/>
  <c r="T53" i="13"/>
  <c r="S52" i="13"/>
  <c r="S54" i="13" s="1"/>
  <c r="S24" i="13"/>
  <c r="S30" i="13" s="1"/>
  <c r="T16" i="13"/>
  <c r="S32" i="13" l="1"/>
  <c r="S68" i="13" s="1"/>
  <c r="S57" i="13"/>
  <c r="S58" i="13" s="1"/>
  <c r="V47" i="13"/>
  <c r="T52" i="13"/>
  <c r="T54" i="13" s="1"/>
  <c r="T24" i="13"/>
  <c r="T30" i="13" s="1"/>
  <c r="U53" i="13"/>
  <c r="U16" i="13"/>
  <c r="T32" i="13" l="1"/>
  <c r="T68" i="13" s="1"/>
  <c r="T57" i="13"/>
  <c r="T58" i="13" s="1"/>
  <c r="U52" i="13"/>
  <c r="U54" i="13" s="1"/>
  <c r="V16" i="13"/>
  <c r="U24" i="13"/>
  <c r="U30" i="13" s="1"/>
  <c r="V53" i="13"/>
  <c r="W47" i="13"/>
  <c r="X47" i="13" l="1"/>
  <c r="U32" i="13"/>
  <c r="U68" i="13" s="1"/>
  <c r="U57" i="13"/>
  <c r="U58" i="13" s="1"/>
  <c r="V52" i="13"/>
  <c r="V54" i="13" s="1"/>
  <c r="W16" i="13"/>
  <c r="V24" i="13"/>
  <c r="V30" i="13" s="1"/>
  <c r="W53" i="13"/>
  <c r="X16" i="13" l="1"/>
  <c r="X53" i="13"/>
  <c r="W24" i="13"/>
  <c r="W30" i="13" s="1"/>
  <c r="W52" i="13"/>
  <c r="W54" i="13" s="1"/>
  <c r="V32" i="13"/>
  <c r="V68" i="13" s="1"/>
  <c r="V57" i="13"/>
  <c r="V58" i="13" s="1"/>
  <c r="Y47" i="13"/>
  <c r="Z47" i="13" l="1"/>
  <c r="W32" i="13"/>
  <c r="W68" i="13" s="1"/>
  <c r="W57" i="13"/>
  <c r="W58" i="13" s="1"/>
  <c r="Y16" i="13"/>
  <c r="Y53" i="13"/>
  <c r="X52" i="13"/>
  <c r="X54" i="13" s="1"/>
  <c r="X24" i="13"/>
  <c r="X30" i="13" s="1"/>
  <c r="X32" i="13" l="1"/>
  <c r="X68" i="13" s="1"/>
  <c r="X57" i="13"/>
  <c r="Z53" i="13"/>
  <c r="Y52" i="13"/>
  <c r="Y54" i="13" s="1"/>
  <c r="Y24" i="13"/>
  <c r="Y30" i="13" s="1"/>
  <c r="Z16" i="13"/>
  <c r="AA47" i="13"/>
  <c r="AB47" i="13" l="1"/>
  <c r="Y32" i="13"/>
  <c r="Y68" i="13" s="1"/>
  <c r="Y57" i="13"/>
  <c r="Y58" i="13" s="1"/>
  <c r="X58" i="13"/>
  <c r="B60" i="13" s="1"/>
  <c r="L1" i="13" s="1"/>
  <c r="B62" i="13"/>
  <c r="F1" i="13" s="1"/>
  <c r="Z24" i="13"/>
  <c r="Z30" i="13" s="1"/>
  <c r="Z52" i="13"/>
  <c r="Z54" i="13" s="1"/>
  <c r="AA53" i="13"/>
  <c r="AA16" i="13"/>
  <c r="AA24" i="13" l="1"/>
  <c r="AA30" i="13" s="1"/>
  <c r="AA52" i="13"/>
  <c r="AA54" i="13" s="1"/>
  <c r="AB16" i="13"/>
  <c r="AB53" i="13"/>
  <c r="Z32" i="13"/>
  <c r="Z68" i="13" s="1"/>
  <c r="Z57" i="13"/>
  <c r="Z58" i="13" s="1"/>
  <c r="AC47" i="13"/>
  <c r="AD47" i="13" l="1"/>
  <c r="AB24" i="13"/>
  <c r="AB30" i="13" s="1"/>
  <c r="AB52" i="13"/>
  <c r="AB54" i="13" s="1"/>
  <c r="AC16" i="13"/>
  <c r="AC53" i="13"/>
  <c r="AA32" i="13"/>
  <c r="AA68" i="13" s="1"/>
  <c r="AA57" i="13"/>
  <c r="AA58" i="13" s="1"/>
  <c r="AB32" i="13" l="1"/>
  <c r="AB68" i="13" s="1"/>
  <c r="AB57" i="13"/>
  <c r="AB58" i="13" s="1"/>
  <c r="AC24" i="13"/>
  <c r="AC30" i="13" s="1"/>
  <c r="AD53" i="13"/>
  <c r="AD16" i="13"/>
  <c r="AC52" i="13"/>
  <c r="AC54" i="13" s="1"/>
  <c r="AE47" i="13"/>
  <c r="AF47" i="13" l="1"/>
  <c r="AC32" i="13"/>
  <c r="AC68" i="13" s="1"/>
  <c r="AC57" i="13"/>
  <c r="AC58" i="13" s="1"/>
  <c r="AD24" i="13"/>
  <c r="AD30" i="13" s="1"/>
  <c r="AE53" i="13"/>
  <c r="AD68" i="13"/>
  <c r="AE16" i="13"/>
  <c r="AD52" i="13"/>
  <c r="AD54" i="13" s="1"/>
  <c r="AF53" i="13" l="1"/>
  <c r="AE68" i="13"/>
  <c r="AF16" i="13"/>
  <c r="AE24" i="13"/>
  <c r="AE30" i="13" s="1"/>
  <c r="AE52" i="13"/>
  <c r="AE54" i="13" s="1"/>
  <c r="AD32" i="13"/>
  <c r="AD57" i="13"/>
  <c r="AD58" i="13" s="1"/>
  <c r="AG47" i="13"/>
  <c r="AH47" i="13" l="1"/>
  <c r="AG53" i="13"/>
  <c r="AF68" i="13"/>
  <c r="AF52" i="13"/>
  <c r="AF54" i="13" s="1"/>
  <c r="AF24" i="13"/>
  <c r="AF30" i="13" s="1"/>
  <c r="AG16" i="13"/>
  <c r="AE32" i="13"/>
  <c r="AE57" i="13"/>
  <c r="AE58" i="13" s="1"/>
  <c r="AH53" i="13" l="1"/>
  <c r="AG68" i="13"/>
  <c r="AG52" i="13"/>
  <c r="AG54" i="13" s="1"/>
  <c r="AG24" i="13"/>
  <c r="AG30" i="13" s="1"/>
  <c r="AH16" i="13"/>
  <c r="AF32" i="13"/>
  <c r="AF57" i="13"/>
  <c r="AF58" i="13" s="1"/>
  <c r="AG32" i="13" l="1"/>
  <c r="AG57" i="13"/>
  <c r="AG58" i="13" s="1"/>
  <c r="AH68" i="13"/>
  <c r="J1" i="13" s="1"/>
  <c r="AH52" i="13"/>
  <c r="AH54" i="13" s="1"/>
  <c r="AH24" i="13"/>
  <c r="AH30" i="13" s="1"/>
  <c r="AH32" i="13" l="1"/>
  <c r="AH57" i="13"/>
  <c r="B63" i="13" l="1"/>
  <c r="H1" i="13" s="1"/>
  <c r="AH58" i="13"/>
  <c r="B61" i="13" s="1"/>
  <c r="N1" i="13" s="1"/>
  <c r="B6" i="11" l="1"/>
  <c r="B9" i="12" l="1"/>
  <c r="E37" i="12"/>
  <c r="F37" i="12" s="1"/>
  <c r="G37" i="12" s="1"/>
  <c r="H37" i="12" s="1"/>
  <c r="I37" i="12" s="1"/>
  <c r="J37" i="12" s="1"/>
  <c r="K37" i="12" s="1"/>
  <c r="L37" i="12" s="1"/>
  <c r="M37" i="12" s="1"/>
  <c r="N37" i="12" s="1"/>
  <c r="O37" i="12" s="1"/>
  <c r="P37" i="12" s="1"/>
  <c r="Q37" i="12" s="1"/>
  <c r="R37" i="12" s="1"/>
  <c r="S37" i="12" s="1"/>
  <c r="T37" i="12" s="1"/>
  <c r="U37" i="12" s="1"/>
  <c r="V37" i="12" s="1"/>
  <c r="A40" i="12"/>
  <c r="C36" i="12"/>
  <c r="C39" i="12" s="1"/>
  <c r="D34" i="12"/>
  <c r="E34" i="12" s="1"/>
  <c r="F34" i="12" s="1"/>
  <c r="G34" i="12" s="1"/>
  <c r="H34" i="12" s="1"/>
  <c r="I34" i="12" s="1"/>
  <c r="J34" i="12" s="1"/>
  <c r="K34" i="12" s="1"/>
  <c r="L34" i="12" s="1"/>
  <c r="M34" i="12" s="1"/>
  <c r="N34" i="12" s="1"/>
  <c r="O34" i="12" s="1"/>
  <c r="P34" i="12" s="1"/>
  <c r="Q34" i="12" s="1"/>
  <c r="R34" i="12" s="1"/>
  <c r="S34" i="12" s="1"/>
  <c r="T34" i="12" s="1"/>
  <c r="U34" i="12" s="1"/>
  <c r="V34" i="12" s="1"/>
  <c r="V35" i="12" s="1"/>
  <c r="A34" i="11"/>
  <c r="A6" i="15"/>
  <c r="A5" i="15"/>
  <c r="B7" i="12"/>
  <c r="B28" i="12"/>
  <c r="A21" i="12" l="1"/>
  <c r="E36" i="12"/>
  <c r="K35" i="12"/>
  <c r="K39" i="12" s="1"/>
  <c r="M35" i="12"/>
  <c r="F35" i="12"/>
  <c r="T36" i="12"/>
  <c r="U35" i="12"/>
  <c r="Q36" i="12"/>
  <c r="E35" i="12"/>
  <c r="S35" i="12"/>
  <c r="L36" i="12"/>
  <c r="N35" i="12"/>
  <c r="I36" i="12"/>
  <c r="S36" i="12"/>
  <c r="K36" i="12"/>
  <c r="T35" i="12"/>
  <c r="L35" i="12"/>
  <c r="R36" i="12"/>
  <c r="J36" i="12"/>
  <c r="R35" i="12"/>
  <c r="J35" i="12"/>
  <c r="P36" i="12"/>
  <c r="H36" i="12"/>
  <c r="Q35" i="12"/>
  <c r="Q39" i="12" s="1"/>
  <c r="I35" i="12"/>
  <c r="I39" i="12" s="1"/>
  <c r="D36" i="12"/>
  <c r="O36" i="12"/>
  <c r="G36" i="12"/>
  <c r="P35" i="12"/>
  <c r="H35" i="12"/>
  <c r="V36" i="12"/>
  <c r="V39" i="12" s="1"/>
  <c r="N36" i="12"/>
  <c r="F36" i="12"/>
  <c r="D35" i="12"/>
  <c r="D39" i="12" s="1"/>
  <c r="O35" i="12"/>
  <c r="O39" i="12" s="1"/>
  <c r="G35" i="12"/>
  <c r="G39" i="12" s="1"/>
  <c r="U36" i="12"/>
  <c r="M36" i="12"/>
  <c r="S39" i="12" l="1"/>
  <c r="U39" i="12"/>
  <c r="L39" i="12"/>
  <c r="E39" i="12"/>
  <c r="T39" i="12"/>
  <c r="H39" i="12"/>
  <c r="P39" i="12"/>
  <c r="J39" i="12"/>
  <c r="F39" i="12"/>
  <c r="R39" i="12"/>
  <c r="N39" i="12"/>
  <c r="M39" i="12"/>
  <c r="A39" i="12" l="1"/>
  <c r="B14" i="12" s="1"/>
  <c r="A41" i="12"/>
  <c r="A42" i="12" l="1"/>
  <c r="B15" i="12" s="1"/>
  <c r="B12" i="12" l="1"/>
  <c r="B10" i="11"/>
  <c r="B5" i="12"/>
  <c r="A23" i="11"/>
  <c r="B5" i="11"/>
  <c r="C52" i="11"/>
  <c r="C48" i="11"/>
  <c r="C51" i="11" s="1"/>
  <c r="A47" i="11"/>
  <c r="D46" i="11"/>
  <c r="E46" i="11" s="1"/>
  <c r="F46" i="11" s="1"/>
  <c r="G46" i="11" s="1"/>
  <c r="H46" i="11" s="1"/>
  <c r="I46" i="11" s="1"/>
  <c r="J46" i="11" s="1"/>
  <c r="K46" i="11" s="1"/>
  <c r="L46" i="11" s="1"/>
  <c r="M46" i="11" s="1"/>
  <c r="N46" i="11" s="1"/>
  <c r="O46" i="11" s="1"/>
  <c r="P46" i="11" s="1"/>
  <c r="Q46" i="11" s="1"/>
  <c r="R46" i="11" s="1"/>
  <c r="S46" i="11" s="1"/>
  <c r="T46" i="11" s="1"/>
  <c r="U46" i="11" s="1"/>
  <c r="V46" i="11" s="1"/>
  <c r="C37" i="11"/>
  <c r="A37" i="11" s="1"/>
  <c r="A52" i="11" s="1"/>
  <c r="C33" i="11"/>
  <c r="A33" i="11"/>
  <c r="D32" i="11"/>
  <c r="E32" i="11" s="1"/>
  <c r="D4" i="10"/>
  <c r="D5" i="10"/>
  <c r="D6" i="10"/>
  <c r="D7" i="10"/>
  <c r="D8" i="10"/>
  <c r="D9" i="10"/>
  <c r="D10" i="10"/>
  <c r="D11" i="10"/>
  <c r="D12" i="10"/>
  <c r="D13" i="10"/>
  <c r="D14" i="10"/>
  <c r="D3" i="10"/>
  <c r="R14" i="10"/>
  <c r="R13" i="10"/>
  <c r="R12" i="10"/>
  <c r="R11" i="10"/>
  <c r="R10" i="10"/>
  <c r="R9" i="10"/>
  <c r="R8" i="10"/>
  <c r="R7" i="10"/>
  <c r="R6" i="10"/>
  <c r="R5" i="10"/>
  <c r="R4" i="10"/>
  <c r="R3" i="10"/>
  <c r="B13" i="12" l="1"/>
  <c r="E48" i="11"/>
  <c r="F32" i="11"/>
  <c r="F47" i="11" s="1"/>
  <c r="D33" i="11"/>
  <c r="D48" i="11"/>
  <c r="D34" i="11"/>
  <c r="E47" i="11"/>
  <c r="E34" i="11"/>
  <c r="E33" i="11"/>
  <c r="C36" i="11"/>
  <c r="D47" i="11"/>
  <c r="S7" i="10"/>
  <c r="S3" i="10"/>
  <c r="S9" i="10"/>
  <c r="S13" i="10"/>
  <c r="S6" i="10"/>
  <c r="S14" i="10"/>
  <c r="S12" i="10"/>
  <c r="S8" i="10"/>
  <c r="S4" i="10"/>
  <c r="S10" i="10"/>
  <c r="S5" i="10"/>
  <c r="S11" i="10"/>
  <c r="E36" i="11" l="1"/>
  <c r="D36" i="11"/>
  <c r="F3" i="12"/>
  <c r="D14" i="12"/>
  <c r="D15" i="12"/>
  <c r="D51" i="11"/>
  <c r="F48" i="11"/>
  <c r="F51" i="11" s="1"/>
  <c r="F33" i="11"/>
  <c r="G32" i="11"/>
  <c r="E51" i="11"/>
  <c r="F34" i="11"/>
  <c r="S17" i="10"/>
  <c r="D4" i="9"/>
  <c r="D5" i="9"/>
  <c r="D6" i="9"/>
  <c r="D7" i="9"/>
  <c r="D8" i="9"/>
  <c r="D9" i="9"/>
  <c r="D10" i="9"/>
  <c r="D11" i="9"/>
  <c r="D12" i="9"/>
  <c r="D13" i="9"/>
  <c r="D14" i="9"/>
  <c r="D3" i="9"/>
  <c r="R14" i="9"/>
  <c r="R13" i="9"/>
  <c r="R12" i="9"/>
  <c r="R11" i="9"/>
  <c r="R10" i="9"/>
  <c r="R9" i="9"/>
  <c r="R8" i="9"/>
  <c r="R7" i="9"/>
  <c r="R6" i="9"/>
  <c r="R5" i="9"/>
  <c r="R4" i="9"/>
  <c r="R3" i="9"/>
  <c r="F36" i="11" l="1"/>
  <c r="G33" i="11"/>
  <c r="H32" i="11"/>
  <c r="G48" i="11"/>
  <c r="G34" i="11"/>
  <c r="G36" i="11" s="1"/>
  <c r="G47" i="11"/>
  <c r="S12" i="9"/>
  <c r="S6" i="9"/>
  <c r="S5" i="9"/>
  <c r="S14" i="9"/>
  <c r="S8" i="9"/>
  <c r="S11" i="9"/>
  <c r="S9" i="9"/>
  <c r="S7" i="9"/>
  <c r="S13" i="9"/>
  <c r="S4" i="9"/>
  <c r="S10" i="9"/>
  <c r="S3" i="9"/>
  <c r="S17" i="9" s="1"/>
  <c r="H33" i="11" l="1"/>
  <c r="I32" i="11"/>
  <c r="H48" i="11"/>
  <c r="H34" i="11"/>
  <c r="H36" i="11" s="1"/>
  <c r="H47" i="11"/>
  <c r="G51" i="11"/>
  <c r="D4" i="8"/>
  <c r="D5" i="8"/>
  <c r="D6" i="8"/>
  <c r="D7" i="8"/>
  <c r="D8" i="8"/>
  <c r="D9" i="8"/>
  <c r="D10" i="8"/>
  <c r="D11" i="8"/>
  <c r="D12" i="8"/>
  <c r="D13" i="8"/>
  <c r="D14" i="8"/>
  <c r="D3" i="8"/>
  <c r="R14" i="8"/>
  <c r="R13" i="8"/>
  <c r="R12" i="8"/>
  <c r="R11" i="8"/>
  <c r="R10" i="8"/>
  <c r="R9" i="8"/>
  <c r="R8" i="8"/>
  <c r="R7" i="8"/>
  <c r="R6" i="8"/>
  <c r="R5" i="8"/>
  <c r="R4" i="8"/>
  <c r="R3" i="8"/>
  <c r="H51" i="11" l="1"/>
  <c r="J32" i="11"/>
  <c r="I48" i="11"/>
  <c r="I33" i="11"/>
  <c r="I34" i="11"/>
  <c r="I36" i="11" s="1"/>
  <c r="I47" i="11"/>
  <c r="S7" i="8"/>
  <c r="S6" i="8"/>
  <c r="S14" i="8"/>
  <c r="S10" i="8"/>
  <c r="S8" i="8"/>
  <c r="S12" i="8"/>
  <c r="S4" i="8"/>
  <c r="S11" i="8"/>
  <c r="S5" i="8"/>
  <c r="S9" i="8"/>
  <c r="S13" i="8"/>
  <c r="S3" i="8"/>
  <c r="I51" i="11" l="1"/>
  <c r="K32" i="11"/>
  <c r="J48" i="11"/>
  <c r="J34" i="11"/>
  <c r="J47" i="11"/>
  <c r="J33" i="11"/>
  <c r="S17" i="8"/>
  <c r="J51" i="11" l="1"/>
  <c r="J36" i="11"/>
  <c r="L32" i="11"/>
  <c r="K34" i="11"/>
  <c r="K47" i="11"/>
  <c r="K48" i="11"/>
  <c r="K33" i="11"/>
  <c r="D4" i="7"/>
  <c r="D5" i="7"/>
  <c r="D6" i="7"/>
  <c r="D7" i="7"/>
  <c r="D8" i="7"/>
  <c r="D9" i="7"/>
  <c r="D10" i="7"/>
  <c r="D11" i="7"/>
  <c r="D12" i="7"/>
  <c r="D13" i="7"/>
  <c r="D14" i="7"/>
  <c r="D3" i="7"/>
  <c r="R14" i="7"/>
  <c r="R13" i="7"/>
  <c r="R12" i="7"/>
  <c r="R11" i="7"/>
  <c r="R10" i="7"/>
  <c r="R9" i="7"/>
  <c r="R8" i="7"/>
  <c r="R7" i="7"/>
  <c r="R6" i="7"/>
  <c r="R5" i="7"/>
  <c r="R4" i="7"/>
  <c r="R3" i="7"/>
  <c r="K51" i="11" l="1"/>
  <c r="K36" i="11"/>
  <c r="M32" i="11"/>
  <c r="L48" i="11"/>
  <c r="L33" i="11"/>
  <c r="L34" i="11"/>
  <c r="L36" i="11" s="1"/>
  <c r="L47" i="11"/>
  <c r="S8" i="7"/>
  <c r="S5" i="7"/>
  <c r="S4" i="7"/>
  <c r="S9" i="7"/>
  <c r="S3" i="7"/>
  <c r="S17" i="7" s="1"/>
  <c r="S10" i="7"/>
  <c r="S12" i="7"/>
  <c r="S13" i="7"/>
  <c r="S14" i="7"/>
  <c r="S6" i="7"/>
  <c r="S7" i="7"/>
  <c r="S11" i="7"/>
  <c r="L51" i="11" l="1"/>
  <c r="M48" i="11"/>
  <c r="N32" i="11"/>
  <c r="M47" i="11"/>
  <c r="M33" i="11"/>
  <c r="M34" i="11"/>
  <c r="M36" i="11" l="1"/>
  <c r="N48" i="11"/>
  <c r="N33" i="11"/>
  <c r="O32" i="11"/>
  <c r="N47" i="11"/>
  <c r="N34" i="11"/>
  <c r="N36" i="11" s="1"/>
  <c r="M51" i="11"/>
  <c r="P32" i="11" l="1"/>
  <c r="O48" i="11"/>
  <c r="O33" i="11"/>
  <c r="O47" i="11"/>
  <c r="O34" i="11"/>
  <c r="O36" i="11" s="1"/>
  <c r="N51" i="11"/>
  <c r="O51" i="11" l="1"/>
  <c r="Q32" i="11"/>
  <c r="P48" i="11"/>
  <c r="P33" i="11"/>
  <c r="P34" i="11"/>
  <c r="P47" i="11"/>
  <c r="P36" i="11" l="1"/>
  <c r="P51" i="11"/>
  <c r="R32" i="11"/>
  <c r="Q48" i="11"/>
  <c r="Q33" i="11"/>
  <c r="Q34" i="11"/>
  <c r="Q47" i="11"/>
  <c r="Q36" i="11" l="1"/>
  <c r="Q51" i="11"/>
  <c r="S32" i="11"/>
  <c r="R48" i="11"/>
  <c r="R33" i="11"/>
  <c r="R34" i="11"/>
  <c r="R36" i="11" s="1"/>
  <c r="R47" i="11"/>
  <c r="R51" i="11" l="1"/>
  <c r="T32" i="11"/>
  <c r="S33" i="11"/>
  <c r="S47" i="11"/>
  <c r="S34" i="11"/>
  <c r="S36" i="11" s="1"/>
  <c r="S48" i="11"/>
  <c r="S51" i="11" l="1"/>
  <c r="U32" i="11"/>
  <c r="T33" i="11"/>
  <c r="T47" i="11"/>
  <c r="T34" i="11"/>
  <c r="T48" i="11"/>
  <c r="T51" i="11" s="1"/>
  <c r="T36" i="11" l="1"/>
  <c r="U48" i="11"/>
  <c r="V32" i="11"/>
  <c r="U34" i="11"/>
  <c r="U33" i="11"/>
  <c r="U47" i="11"/>
  <c r="U51" i="11" l="1"/>
  <c r="U36" i="11"/>
  <c r="V48" i="11"/>
  <c r="V33" i="11"/>
  <c r="V34" i="11"/>
  <c r="V47" i="11"/>
  <c r="V36" i="11" l="1"/>
  <c r="V51" i="11"/>
  <c r="A36" i="11" l="1"/>
  <c r="A38" i="11"/>
  <c r="A53" i="11"/>
  <c r="B19" i="11" s="1"/>
  <c r="F4" i="11" s="1"/>
  <c r="A51" i="11"/>
  <c r="B20" i="11" s="1"/>
  <c r="A54" i="11" l="1"/>
  <c r="B16" i="11" s="1"/>
  <c r="B18" i="11" s="1"/>
  <c r="E18" i="11" s="1"/>
  <c r="F10" i="12"/>
  <c r="F3" i="11" l="1"/>
  <c r="F10" i="11" s="1"/>
  <c r="D19" i="11"/>
  <c r="D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tc={89F875E8-C9D4-4FDB-9A80-7779F2240B68}</author>
  </authors>
  <commentList>
    <comment ref="C47" authorId="0" shapeId="0" xr:uid="{89F875E8-C9D4-4FDB-9A80-7779F2240B68}">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tc={FCCA54C8-2E83-4012-A6FD-688C15E02EBC}</author>
  </authors>
  <commentList>
    <comment ref="C35" authorId="0" shapeId="0" xr:uid="{FCCA54C8-2E83-4012-A6FD-688C15E02EBC}">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tc={D39C3E5C-8613-4B9B-92B4-FE96F5408E1F}</author>
    <author>tc={5E1455FB-DDE1-4539-AA52-E3C86E29EA62}</author>
    <author>tc={5A833C11-D7F4-4C2C-992E-44A8DC318134}</author>
  </authors>
  <commentList>
    <comment ref="F4" authorId="0" shapeId="0" xr:uid="{D39C3E5C-8613-4B9B-92B4-FE96F5408E1F}">
      <text>
        <t>[Threaded comment]
Your version of Excel allows you to read this threaded comment; however, any edits to it will get removed if the file is opened in a newer version of Excel. Learn more: https://go.microsoft.com/fwlink/?linkid=870924
Comment:
    Grant amount  $/kW</t>
      </text>
    </comment>
    <comment ref="S4" authorId="1" shapeId="0" xr:uid="{5E1455FB-DDE1-4539-AA52-E3C86E29EA62}">
      <text>
        <t>[Threaded comment]
Your version of Excel allows you to read this threaded comment; however, any edits to it will get removed if the file is opened in a newer version of Excel. Learn more: https://go.microsoft.com/fwlink/?linkid=870924
Comment:
    Cost of new inverter  $/kW</t>
      </text>
    </comment>
    <comment ref="B17" authorId="2" shapeId="0" xr:uid="{5A833C11-D7F4-4C2C-992E-44A8DC318134}">
      <text>
        <t>[Threaded comment]
Your version of Excel allows you to read this threaded comment; however, any edits to it will get removed if the file is opened in a newer version of Excel. Learn more: https://go.microsoft.com/fwlink/?linkid=870924
Comment:
    Use 1551 if a single axis tracking array</t>
      </text>
    </comment>
  </commentList>
</comments>
</file>

<file path=xl/sharedStrings.xml><?xml version="1.0" encoding="utf-8"?>
<sst xmlns="http://schemas.openxmlformats.org/spreadsheetml/2006/main" count="414" uniqueCount="285">
  <si>
    <t>Discount Rate (Subscription Incentive)</t>
  </si>
  <si>
    <t>Constants:</t>
  </si>
  <si>
    <t>cents/kWh</t>
  </si>
  <si>
    <t>Base Year</t>
  </si>
  <si>
    <t>Utility rate</t>
  </si>
  <si>
    <t>PPA rate</t>
  </si>
  <si>
    <t>TEST CASE</t>
  </si>
  <si>
    <t>Discount Rate</t>
  </si>
  <si>
    <t>Total Savings (cents/kWh)</t>
  </si>
  <si>
    <t>BASELINE CASE</t>
  </si>
  <si>
    <t>Yearly rate increase</t>
  </si>
  <si>
    <t>Instructions:</t>
  </si>
  <si>
    <t>The baseline case assumes:</t>
  </si>
  <si>
    <t xml:space="preserve">     A 20 year PPA term</t>
  </si>
  <si>
    <t xml:space="preserve">     The actual cost of electricity increases 2.00%/year</t>
  </si>
  <si>
    <t>Subscriber Organization Description</t>
  </si>
  <si>
    <t>Organization Subscriber ID No:</t>
  </si>
  <si>
    <t>CSEGS Project Description:</t>
  </si>
  <si>
    <t>Project Name:</t>
  </si>
  <si>
    <t>Project's Budgeted Annual Energy Output</t>
  </si>
  <si>
    <t>Acknowledgements:</t>
  </si>
  <si>
    <t>Date scheduled to produce creditable energy</t>
  </si>
  <si>
    <t>Submit this spreadsheet with a signed cover letter to apply</t>
  </si>
  <si>
    <t>Submitted by (Name)</t>
  </si>
  <si>
    <t xml:space="preserve">  Date</t>
  </si>
  <si>
    <t>Total Array Capacity</t>
  </si>
  <si>
    <t>kW-dc</t>
  </si>
  <si>
    <t>Assumed rate of utility wholesale rate increase</t>
  </si>
  <si>
    <t>Year Zero Rate Reduction below utility retail rate</t>
  </si>
  <si>
    <t>kilowatts (kW-dc)</t>
  </si>
  <si>
    <t>kilowatt-hours (kWh-ac)</t>
  </si>
  <si>
    <t>Required Documents</t>
  </si>
  <si>
    <t>Subscriber Organization Certificate of Good Standing from SDAT</t>
  </si>
  <si>
    <t>Subscriber Organization / Applicant IRS Form W-9</t>
  </si>
  <si>
    <t>Solar Installer Certificate of Good Standing from SDAT</t>
  </si>
  <si>
    <t>Site plan, showing array location on the site</t>
  </si>
  <si>
    <t>Google Earth (or equivalent) map showing the location of the site with respect to the surrounding community</t>
  </si>
  <si>
    <t>PVWATTS, PVSYST (or equivalent) document showing expected energy production</t>
  </si>
  <si>
    <t>Proposed timeline</t>
  </si>
  <si>
    <t>Project Nickname:</t>
  </si>
  <si>
    <t>County</t>
  </si>
  <si>
    <t>LMI</t>
  </si>
  <si>
    <t>SBO</t>
  </si>
  <si>
    <t>Assumed kWh-ac/kW-dc</t>
  </si>
  <si>
    <t xml:space="preserve">The Completion Package should be submitted electronically to MEA via email to: solar.mea@maryland.gov.  </t>
  </si>
  <si>
    <t>If specifically authorized by MEA, an applicant should mail the supporting documents to:</t>
  </si>
  <si>
    <t>Application Package Submission</t>
  </si>
  <si>
    <t>POC Title</t>
  </si>
  <si>
    <t>POC phone number (office)</t>
  </si>
  <si>
    <t>POC phone number (mobile)</t>
  </si>
  <si>
    <t>POC e-mail address</t>
  </si>
  <si>
    <t>Cost Escalation rate</t>
  </si>
  <si>
    <t>$/kWh</t>
  </si>
  <si>
    <t>The calculation compares the proposed incentive rate structure and PPA term (Rows 47-54) against a specified Baseline Case (Rows 30-38) .</t>
  </si>
  <si>
    <t xml:space="preserve">Inputs are highlighted in yellow.     </t>
  </si>
  <si>
    <t>Gen %</t>
  </si>
  <si>
    <t xml:space="preserve">6 Supply Capacity, Energy and Ancilliary Rate </t>
  </si>
  <si>
    <t>6 Transmission Rate</t>
  </si>
  <si>
    <t>Energy Cost Adjustment Surcharge (ECA)</t>
  </si>
  <si>
    <t>6 Distribution Rate</t>
  </si>
  <si>
    <t>5-8 Administrative Credit (ACA)</t>
  </si>
  <si>
    <t>5-4 Environmental Surcharge</t>
  </si>
  <si>
    <t>5-5 Empower Md. Charge</t>
  </si>
  <si>
    <t>5-2 Franchise Tax</t>
  </si>
  <si>
    <t>5-10 Electric Distribution Investment Surcharge</t>
  </si>
  <si>
    <t>5-1 COGEN PURPA Surccharge</t>
  </si>
  <si>
    <t>County Energy Taxes</t>
  </si>
  <si>
    <t>Total</t>
  </si>
  <si>
    <t>Weighted Total</t>
  </si>
  <si>
    <t>January</t>
  </si>
  <si>
    <t>February</t>
  </si>
  <si>
    <t>March</t>
  </si>
  <si>
    <t>April</t>
  </si>
  <si>
    <t>May</t>
  </si>
  <si>
    <t>June</t>
  </si>
  <si>
    <t>July</t>
  </si>
  <si>
    <t>August</t>
  </si>
  <si>
    <t>September</t>
  </si>
  <si>
    <t>October</t>
  </si>
  <si>
    <t>November</t>
  </si>
  <si>
    <t>December</t>
  </si>
  <si>
    <t>Potomac Edison</t>
  </si>
  <si>
    <t xml:space="preserve">Generation </t>
  </si>
  <si>
    <t>Admin Charge</t>
  </si>
  <si>
    <t>PCA</t>
  </si>
  <si>
    <t>Transmission Rate</t>
  </si>
  <si>
    <t>Distribution Rate</t>
  </si>
  <si>
    <t>BSA</t>
  </si>
  <si>
    <t>Franchise Tax</t>
  </si>
  <si>
    <t>Environmental Surcharge</t>
  </si>
  <si>
    <t>Empower Md. Charge</t>
  </si>
  <si>
    <t>Pepco</t>
  </si>
  <si>
    <t>PG County</t>
  </si>
  <si>
    <t>Supply</t>
  </si>
  <si>
    <t>BGE</t>
  </si>
  <si>
    <t>Delmarva</t>
  </si>
  <si>
    <t>For Cell C47</t>
  </si>
  <si>
    <t>Congressional District of Array</t>
  </si>
  <si>
    <t>MD Legislative District of Array</t>
  </si>
  <si>
    <t>Congressional District of Subscriber Organization</t>
  </si>
  <si>
    <t>MD Legislative District of Subscriber Organization</t>
  </si>
  <si>
    <t>Subscription Organization (SO) Name:</t>
  </si>
  <si>
    <t>SO Point of Contact (POC) Name</t>
  </si>
  <si>
    <t>SO Person authorized to sign grant - name</t>
  </si>
  <si>
    <t>SO Person who will sign the grant agreement - title</t>
  </si>
  <si>
    <t xml:space="preserve">SO Person who will sign grant agreement - email </t>
  </si>
  <si>
    <t>Evidence of site control for 20 years after array is built</t>
  </si>
  <si>
    <t>Version 1.0</t>
  </si>
  <si>
    <t xml:space="preserve">     The community solar array achieves a production rate (kWh-ac/kW -dc installed) as specified in cell A22 (applicant selected).</t>
  </si>
  <si>
    <t>NPV Savings (cents/kWh per kW installed over 20 years)</t>
  </si>
  <si>
    <t>NPV Savings  (cents/kWh per kW installed over 20 years)</t>
  </si>
  <si>
    <t xml:space="preserve">SO  Address </t>
  </si>
  <si>
    <t>MEA is encouraging the use of electronic applications to streamline processing and reduce environmental impacts. If you cannot apply electronically, please contact MEA no later than seven (7) days prior to the application deadline to identify an alternative method to submit an application</t>
  </si>
  <si>
    <t>Maryland Energy Administration
Attn: Community Solar LMI-PPA Program
1800 Washington Blvd.  Suite 755
Baltimore, MD 21230</t>
  </si>
  <si>
    <t>($)</t>
  </si>
  <si>
    <t>Estimated Total Community Solar System Cost</t>
  </si>
  <si>
    <t>Fill in yellow highlighted cells</t>
  </si>
  <si>
    <t>*** Items highlighted in yellow are variables.  Change these numbers to fit the project.  Do not change other cells ***</t>
  </si>
  <si>
    <t>GHG</t>
  </si>
  <si>
    <t>LMI Benefit</t>
  </si>
  <si>
    <t>For Official Use Only</t>
  </si>
  <si>
    <t>Waste site?</t>
  </si>
  <si>
    <t>Battery Hrs?</t>
  </si>
  <si>
    <t>Display?</t>
  </si>
  <si>
    <t>Rooftop?</t>
  </si>
  <si>
    <t>Hours</t>
  </si>
  <si>
    <r>
      <t xml:space="preserve">change from baseline </t>
    </r>
    <r>
      <rPr>
        <b/>
        <sz val="11"/>
        <color theme="1"/>
        <rFont val="Calibri"/>
        <family val="2"/>
        <scheme val="minor"/>
      </rPr>
      <t>Dollars/kWh</t>
    </r>
    <r>
      <rPr>
        <sz val="11"/>
        <color theme="1"/>
        <rFont val="Calibri"/>
        <family val="2"/>
        <scheme val="minor"/>
      </rPr>
      <t xml:space="preserve"> per kW installed over 20 years</t>
    </r>
  </si>
  <si>
    <t>Points</t>
  </si>
  <si>
    <t>Project Solar Array Size: (kW-dc)</t>
  </si>
  <si>
    <t>Documentation showing CSEGS rate for the last 12 months (or equivalent for PE service territory).</t>
  </si>
  <si>
    <t>Community Solar Project Name</t>
  </si>
  <si>
    <t>Project XYZ</t>
  </si>
  <si>
    <t>LMI-PPA Incentive Calculator  (AOI-2)</t>
  </si>
  <si>
    <t>kWh/year for the array for the Low Income subscribers</t>
  </si>
  <si>
    <t>percent</t>
  </si>
  <si>
    <t>Capacity of array dedicate to Low Income Subscribers (nearest kW-dc)</t>
  </si>
  <si>
    <t>Landfill incentive</t>
  </si>
  <si>
    <t>Interconnection incentive</t>
  </si>
  <si>
    <t>Distance from Point of Interconnection</t>
  </si>
  <si>
    <t>miles</t>
  </si>
  <si>
    <t>Developer Responsibility (the first …..)</t>
  </si>
  <si>
    <t>Incentive</t>
  </si>
  <si>
    <t>Landfill Incentive per kW</t>
  </si>
  <si>
    <t>MEA incentive percentage after first mile</t>
  </si>
  <si>
    <t>$/kW</t>
  </si>
  <si>
    <t>$/kW/year</t>
  </si>
  <si>
    <t>$/mile</t>
  </si>
  <si>
    <t>transformer and switching on 3 poles</t>
  </si>
  <si>
    <t>Cost of Solar Installed (less land)</t>
  </si>
  <si>
    <t>Cost of Land</t>
  </si>
  <si>
    <t>$/Acre</t>
  </si>
  <si>
    <t>Acres/MW-dc</t>
  </si>
  <si>
    <t>Solar Efficiency</t>
  </si>
  <si>
    <t>kWh-ac/kW-dc/year</t>
  </si>
  <si>
    <t>Value of SREC</t>
  </si>
  <si>
    <t>Year</t>
  </si>
  <si>
    <t>Array degredation rate</t>
  </si>
  <si>
    <t>Array efficiency at end of year</t>
  </si>
  <si>
    <t>kWh produced</t>
  </si>
  <si>
    <t>CSEGS cost escalation %/year</t>
  </si>
  <si>
    <t>Energy (value/cost)</t>
  </si>
  <si>
    <t>SREC income/year</t>
  </si>
  <si>
    <t>Energy cost savings/year per KW solar</t>
  </si>
  <si>
    <t>Equipment proportion of total cost</t>
  </si>
  <si>
    <t>Investment Tax Credit</t>
  </si>
  <si>
    <t>Federal Tax Rate</t>
  </si>
  <si>
    <t>State Tax Rate</t>
  </si>
  <si>
    <t>Depreciable amount</t>
  </si>
  <si>
    <t>Tax savings</t>
  </si>
  <si>
    <t>Tax Savings</t>
  </si>
  <si>
    <t>Total Tax Savings</t>
  </si>
  <si>
    <t xml:space="preserve">source: https://www.paradisesolarenergy.com/blog/how-commercial-solar-panel-depreciation-works#:~:text=A%20commercial%20solar%20investment%20has,standard%20five%2Dyear%20MACRS%20schedule. </t>
  </si>
  <si>
    <t>source:  https://www.paradisesolarenergy.com/blog/how-commercial-solar-panel-depreciation-works#:~:text=A%20commercial%20solar%20investment%20has,standard%20five%2Dyear%20MACRS%20schedule.</t>
  </si>
  <si>
    <t>Total income stream</t>
  </si>
  <si>
    <t>Grant Amount (considered taxable income)</t>
  </si>
  <si>
    <t>NPV at year 7</t>
  </si>
  <si>
    <t>NPV</t>
  </si>
  <si>
    <t>NPV at year 20</t>
  </si>
  <si>
    <t>O&amp;M</t>
  </si>
  <si>
    <t>NPV at year 30</t>
  </si>
  <si>
    <t xml:space="preserve">    The annual discount to the cost of electricity is 15% below the CSEG Credit Rate</t>
  </si>
  <si>
    <t>There is no validation incentive under this AOI.</t>
  </si>
  <si>
    <t>Inverter output limit</t>
  </si>
  <si>
    <t>kW-ac</t>
  </si>
  <si>
    <t>DC/AC Ratio</t>
  </si>
  <si>
    <t>The total incentive can be found in cell B13.</t>
  </si>
  <si>
    <t>Maryland Community LMI-PPA Grant Application FY-26</t>
  </si>
  <si>
    <t>SO Name as it should be on the grant (and W-9)</t>
  </si>
  <si>
    <t>Project Area of Interest ( AOI-1 or 2)</t>
  </si>
  <si>
    <t>Project's Electrical Utility Service Area</t>
  </si>
  <si>
    <t>%</t>
  </si>
  <si>
    <t>Low Income Percentage (%) guaranteed (AOI-1 only)</t>
  </si>
  <si>
    <t>Address of the physical array.  If the location has no street number, provide lat/long.</t>
  </si>
  <si>
    <t>Low Income Subscriber Verification</t>
  </si>
  <si>
    <t>Cover letter providing guaranties of the percentage savings for each of the first 20 years (annual rate escalator not allowed)</t>
  </si>
  <si>
    <t>Effective Date:  July 1, 2025</t>
  </si>
  <si>
    <t xml:space="preserve">     The discount rate applied to Net Present Value Calculations is 10.00%  (Cell A37)</t>
  </si>
  <si>
    <t>Cell C47 is the average Community Solar Energy Generation Credit Rate over the last 12 months.  This value is copied from the applicable utility Rate Calculation tab.  If less than 12 months of data is available, use all available months. (Leave the County energy tax rate at zero( 0).  Provide links or documentation to support these numbers.</t>
  </si>
  <si>
    <t>The total incentive eligible to be paid can be found in cell B18.</t>
  </si>
  <si>
    <t>The total benefit to the Low Income Community can be found at B19</t>
  </si>
  <si>
    <t>Total Cash benefit to the Subscribers over 20 years</t>
  </si>
  <si>
    <t>Instructions:  AOI-1</t>
  </si>
  <si>
    <t>Minimum array size dedicated to LMI subscribers (40%)</t>
  </si>
  <si>
    <t>LMI-PPA Incentive Calculator  (AOI-1)</t>
  </si>
  <si>
    <t>Baseline case:  rate of PPA rate increase</t>
  </si>
  <si>
    <t>Total incentive to Subscriber Organization</t>
  </si>
  <si>
    <t>Minimum Required Low Income Array Size</t>
  </si>
  <si>
    <t>Instructions:  AOI-2</t>
  </si>
  <si>
    <t>kWh/$</t>
  </si>
  <si>
    <t>Total NPV benefit to Subscribers over 20 years</t>
  </si>
  <si>
    <t>Array Production Factor</t>
  </si>
  <si>
    <t>Attestation</t>
  </si>
  <si>
    <t>1.  My company is authorized to operate in the State of Maryland.</t>
  </si>
  <si>
    <t>2.  I acknologe that program funds may not be used for project costs that are incurred prior to the execution of the grant agreement with the Maryland Energy Administration</t>
  </si>
  <si>
    <t>3.  The person listed as signing for the company is authorized to bind the company to a grant or contract.</t>
  </si>
  <si>
    <t>4.  If I am a public facility (a State or Local Government), my organization has determined if compliance with with §§14-416 and 17-303 of the State Finance and Procurement Article is required.  If yes, I will inform all appropriate contractors.  If yes, I will inform MEA that the sections are applicable for this project).</t>
  </si>
  <si>
    <t>5.  I agree that the terms of the Grant Agreement will not be changed in a manner that would disadvantage the LMI subscribers over the twenty (20) year period covered by this grant.  I agree to include these subscription limitations as  mandatory requirements in any future agreements of sale or change in control or ownership of the solar array to another subscriber organization.</t>
  </si>
  <si>
    <t>6.  I agree to produce creditable power by the date specified in the Grant Agreement</t>
  </si>
  <si>
    <t>8.  I agree to sign up for SRECs through the applicable Public Service Commission and PJM (although I am not required to sell the SRECs)</t>
  </si>
  <si>
    <t>10. I agree that the solar system will meet minimum system requirements as specified in the Institute of Electrical and Electronics Engineers (“IEEE”) standard 1547 and the National Electric Code (“NEC”). Further,  all components will be listed or labeled by a recognized national testing laboratory.</t>
  </si>
  <si>
    <t>Submitted by (Name) Print and sign</t>
  </si>
  <si>
    <t>Low Income Array Size (set aside) (AOI-1 only) (kW-dc)</t>
  </si>
  <si>
    <t>Census Tract (provide entire GEOID starting with 24…)</t>
  </si>
  <si>
    <t>Describe how Low Income subscriber status will be determined</t>
  </si>
  <si>
    <r>
      <t xml:space="preserve">Capacity of array dedicate to </t>
    </r>
    <r>
      <rPr>
        <b/>
        <sz val="11"/>
        <color theme="1"/>
        <rFont val="Calibri"/>
        <family val="2"/>
        <scheme val="minor"/>
      </rPr>
      <t xml:space="preserve">Low Income </t>
    </r>
    <r>
      <rPr>
        <sz val="11"/>
        <color theme="1"/>
        <rFont val="Calibri"/>
        <family val="2"/>
        <scheme val="minor"/>
      </rPr>
      <t>Subscribers (nearest kW-dc)</t>
    </r>
  </si>
  <si>
    <t xml:space="preserve">Assumptions used to develop the landfill incentive are provided on the "AOI-2 calculation sheet" spreadsheet.  </t>
  </si>
  <si>
    <t>Project Number: (if assigned by utility or developer)</t>
  </si>
  <si>
    <t>9.  I understand that MEA will not approve the grant if the the Maryland Historic Trust evaluates the project as having an "adverse impact" to a historic district.</t>
  </si>
  <si>
    <t>Minimum array size dedicated to Low Income subscribers (15%)</t>
  </si>
  <si>
    <t>Subscription incentive (limited to 51% of capacity at time of  application)</t>
  </si>
  <si>
    <t>7.  I agree that I will provide a count of Low Income subscribers and their capacity (and their method of Low Income qualification).</t>
  </si>
  <si>
    <t>The applicant is requested to input information for the Proposed Incentive Calculation:</t>
  </si>
  <si>
    <t>The applicant is requested to input information for the Proposed Incentive Calculation.</t>
  </si>
  <si>
    <t xml:space="preserve">This AOI assumes a fixed annual discount to the utility CSEGS rate.  Annual escalators and custom rate structures are not allowed under this AOI. </t>
  </si>
  <si>
    <t xml:space="preserve">The subscription incentive calculates the difference between the Net Present Value of the actual savings stream over a 20 year period and the Net Present Value of a baseline situation,  and then multiplies it by the size of the solar array dedicated to the Low Income community.  </t>
  </si>
  <si>
    <t>Fill out all cells in yellow:  B3, B4, B9, A22, A50, and C47.  Instructions for Cell C47 can be found at the Instructions-Rate Calc tab.</t>
  </si>
  <si>
    <t>AOI-2 applicants are encouraged (but not required) to fill in the yellow highlighted  cells of the AOI-2 calculation sheet.    This data will help us refine grant amounts for next year.</t>
  </si>
  <si>
    <t>Fill out all cells in yellow: B3, B4, B6, B9, A20, B25, and C35.  Instructions for Cell C35 can be found at the Instructions-Rate Calc tab.</t>
  </si>
  <si>
    <t>IRR 20 =</t>
  </si>
  <si>
    <t>IRR 30 =</t>
  </si>
  <si>
    <t>MinDSCR</t>
  </si>
  <si>
    <t>NPV 20=</t>
  </si>
  <si>
    <t>NPV 30=</t>
  </si>
  <si>
    <t>Land Cost</t>
  </si>
  <si>
    <t>Debt percentage</t>
  </si>
  <si>
    <t>Weighted Average Cost of Capital (for debt)</t>
  </si>
  <si>
    <t>Duration of the loan</t>
  </si>
  <si>
    <t>years</t>
  </si>
  <si>
    <t>Energy Discount Level 1 savings (%)</t>
  </si>
  <si>
    <t>Energy Discount Level 2 savings (%)</t>
  </si>
  <si>
    <t>Energy Discount Level 3 savings (%)</t>
  </si>
  <si>
    <t xml:space="preserve">SREC value after fee of </t>
  </si>
  <si>
    <t>Excess or deficient energy Savings 0%</t>
  </si>
  <si>
    <t>% savings  remaining energy</t>
  </si>
  <si>
    <t>Total SREC + Energy Income</t>
  </si>
  <si>
    <t>Insurance</t>
  </si>
  <si>
    <t>Asset Management</t>
  </si>
  <si>
    <t>Customer aggregation</t>
  </si>
  <si>
    <t>$/kW/year   10-12</t>
  </si>
  <si>
    <t>Decommissioning Bonds</t>
  </si>
  <si>
    <t>Property Tax</t>
  </si>
  <si>
    <t>based on value of project</t>
  </si>
  <si>
    <t>Debt Service</t>
  </si>
  <si>
    <t xml:space="preserve">      TOTAL of Lines 47-53</t>
  </si>
  <si>
    <t>Assumed Inflation Rate</t>
  </si>
  <si>
    <t>IRR over 20 years</t>
  </si>
  <si>
    <t>IIR over 30 years</t>
  </si>
  <si>
    <t>Debt Service Coverage Ratio</t>
  </si>
  <si>
    <t>Cost of energy (estimated weighted - from OPC website)</t>
  </si>
  <si>
    <t>PEPCO</t>
  </si>
  <si>
    <t>PE</t>
  </si>
  <si>
    <t>DPL</t>
  </si>
  <si>
    <t>Roof Space  $50-$100/kW</t>
  </si>
  <si>
    <t>Fill out cells in yellow only.</t>
  </si>
  <si>
    <t>If CSEGS Credit Rate data is available, fill out columns C and R only.  If not, fill out columns C, F, G, H, J, K, L, M, N, O, and P only.</t>
  </si>
  <si>
    <t>If CSEGS Credit Rate data is available, fill out columns C and R only.  If not, fill out columns C, F, G, H, I, K, L, M, N, O, and P only.</t>
  </si>
  <si>
    <t>For Cell C47 or C35</t>
  </si>
  <si>
    <t>Do not fill out column Q</t>
  </si>
  <si>
    <t>If CSEGS Credit Rate data is available, fill out columns C and R only.  If not, fill out columns C, F, J, K, L, M, and N only.</t>
  </si>
  <si>
    <t>If CSEGS Credit Rate data is available, fill out columns C and R only.  If not, fill out columns C, F, G, H, J, K, L, M, N, O, and P</t>
  </si>
  <si>
    <t>PVSYS   
PVWATTS   
E Grid   
Generation</t>
  </si>
  <si>
    <r>
      <t xml:space="preserve">Examples of utility rate calculations are provided in the orange spreadsheets.  Column C can come from PV SYS or PVWatts, or other reputable solar modeling program.  The absolute number are not important, only the ability to determine the relative amount of energy produced in each month (Column D).  
Use the last 12 months of CSEGS Credit Rate values as provided by the utility.  DO NOT INCLUDE COUNTY TAXES IN THIS CALCULATION.  </t>
    </r>
    <r>
      <rPr>
        <b/>
        <sz val="11"/>
        <color theme="1"/>
        <rFont val="Calibri"/>
        <family val="2"/>
        <scheme val="minor"/>
      </rPr>
      <t>Submit YOUR rate calculation as a worksheet as part of this Application Workbook.</t>
    </r>
    <r>
      <rPr>
        <sz val="11"/>
        <color theme="1"/>
        <rFont val="Calibri"/>
        <family val="2"/>
        <scheme val="minor"/>
      </rPr>
      <t xml:space="preserve"> Remove the worksheets from the other utilities that do not apply to this application.</t>
    </r>
  </si>
  <si>
    <t xml:space="preserve">If CSEGS Credit Rate values are available for the 12 months, copy them to Column R and leave columns E-Q blank.
If CSEGS Credit Rate values are not available, fill in columns E-P (as appropriate) using data from the Residential Electrical Tariff (SOS).  </t>
  </si>
  <si>
    <t>Total incentive to Subscriber Organization (limited to $1,000,000)</t>
  </si>
  <si>
    <t>Baseline - 12%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</si>
</sst>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3" formatCode="_(* #,##0.00_);_(* \(#,##0.00\);_(* &quot;-&quot;??_);_(@_)"/>
    <numFmt numFmtId="164" formatCode="0.0000"/>
    <numFmt numFmtId="165" formatCode="#,##0.000_);[Red]\(#,##0.000\)"/>
    <numFmt numFmtId="166" formatCode="#,##0.0000_);[Red]\(#,##0.0000\)"/>
    <numFmt numFmtId="167" formatCode="_(* #,##0_);_(* \(#,##0\);_(* &quot;-&quot;??_);_(@_)"/>
    <numFmt numFmtId="168" formatCode="&quot;$&quot;#,##0.00"/>
    <numFmt numFmtId="169" formatCode="&quot;$&quot;#,##0.0000_);[Red]\(&quot;$&quot;#,##0.0000\)"/>
    <numFmt numFmtId="170" formatCode="0.000000"/>
    <numFmt numFmtId="171" formatCode="#,##0.0_);[Red]\(#,##0.0\)"/>
    <numFmt numFmtId="172" formatCode="0.0%"/>
    <numFmt numFmtId="173" formatCode="&quot;$&quot;#,##0"/>
    <numFmt numFmtId="174" formatCode="&quot;$&quot;#,##0.0000"/>
    <numFmt numFmtId="175" formatCode="#,##0.000"/>
    <numFmt numFmtId="176" formatCode="&quot;$&quot;#,##0.000"/>
    <numFmt numFmtId="177" formatCode="&quot;$&quot;#,##0.0_);[Red]\(&quot;$&quot;#,##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b/>
      <sz val="14"/>
      <color rgb="FF0070C0"/>
      <name val="Calibri"/>
      <family val="2"/>
      <scheme val="minor"/>
    </font>
    <font>
      <sz val="12"/>
      <color theme="1"/>
      <name val="Calibri"/>
      <family val="2"/>
      <scheme val="minor"/>
    </font>
    <font>
      <sz val="11"/>
      <name val="Calibri"/>
      <family val="2"/>
      <scheme val="minor"/>
    </font>
    <font>
      <sz val="14"/>
      <name val="Calibri"/>
      <family val="2"/>
      <scheme val="minor"/>
    </font>
    <font>
      <b/>
      <sz val="12"/>
      <color rgb="FFFF0000"/>
      <name val="Calibri"/>
      <family val="2"/>
      <scheme val="minor"/>
    </font>
    <font>
      <sz val="11"/>
      <color theme="1"/>
      <name val="Arial"/>
      <family val="2"/>
    </font>
    <font>
      <sz val="11"/>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tint="-4.9989318521683403E-2"/>
        <bgColor indexed="64"/>
      </patternFill>
    </fill>
  </fills>
  <borders count="20">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49">
    <xf numFmtId="0" fontId="0" fillId="0" borderId="0" xfId="0"/>
    <xf numFmtId="10" fontId="0" fillId="0" borderId="0" xfId="0" applyNumberFormat="1"/>
    <xf numFmtId="38" fontId="0" fillId="2" borderId="0" xfId="0" applyNumberFormat="1" applyFill="1"/>
    <xf numFmtId="38" fontId="0" fillId="3" borderId="0" xfId="0" applyNumberFormat="1" applyFill="1"/>
    <xf numFmtId="0" fontId="0" fillId="2" borderId="0" xfId="0" applyFill="1"/>
    <xf numFmtId="10" fontId="0" fillId="3" borderId="0" xfId="0" applyNumberFormat="1" applyFill="1"/>
    <xf numFmtId="10" fontId="0" fillId="2" borderId="0" xfId="0" applyNumberFormat="1" applyFill="1"/>
    <xf numFmtId="9" fontId="0" fillId="2" borderId="0" xfId="0" applyNumberFormat="1" applyFill="1"/>
    <xf numFmtId="6" fontId="0" fillId="0" borderId="0" xfId="0" applyNumberFormat="1"/>
    <xf numFmtId="164" fontId="0" fillId="0" borderId="0" xfId="0" applyNumberFormat="1"/>
    <xf numFmtId="38" fontId="0" fillId="0" borderId="0" xfId="0" applyNumberFormat="1"/>
    <xf numFmtId="165" fontId="0" fillId="0" borderId="0" xfId="0" applyNumberFormat="1"/>
    <xf numFmtId="0" fontId="0" fillId="3" borderId="0" xfId="0" applyFill="1"/>
    <xf numFmtId="8" fontId="0" fillId="0" borderId="0" xfId="0" applyNumberFormat="1"/>
    <xf numFmtId="166" fontId="0" fillId="0" borderId="0" xfId="0" applyNumberFormat="1"/>
    <xf numFmtId="9" fontId="0" fillId="0" borderId="0" xfId="0" applyNumberFormat="1"/>
    <xf numFmtId="10" fontId="0" fillId="6" borderId="0" xfId="0" applyNumberFormat="1" applyFill="1"/>
    <xf numFmtId="165" fontId="0" fillId="6" borderId="0" xfId="0" applyNumberFormat="1" applyFill="1"/>
    <xf numFmtId="9" fontId="0" fillId="6" borderId="0" xfId="0" applyNumberFormat="1" applyFill="1"/>
    <xf numFmtId="166" fontId="0" fillId="9" borderId="0" xfId="0" applyNumberFormat="1" applyFill="1"/>
    <xf numFmtId="10" fontId="0" fillId="0" borderId="0" xfId="0" applyNumberFormat="1" applyAlignment="1">
      <alignment horizontal="right"/>
    </xf>
    <xf numFmtId="0" fontId="0" fillId="0" borderId="0" xfId="0" applyAlignment="1">
      <alignment horizontal="right"/>
    </xf>
    <xf numFmtId="0" fontId="0" fillId="7" borderId="4" xfId="0" applyFill="1" applyBorder="1"/>
    <xf numFmtId="0" fontId="0" fillId="5" borderId="0" xfId="0" applyFill="1"/>
    <xf numFmtId="0" fontId="2" fillId="5" borderId="0" xfId="0" applyFont="1" applyFill="1"/>
    <xf numFmtId="167" fontId="0" fillId="7" borderId="2" xfId="1" applyNumberFormat="1" applyFont="1" applyFill="1" applyBorder="1" applyAlignment="1">
      <alignment horizontal="right"/>
    </xf>
    <xf numFmtId="167" fontId="0" fillId="7" borderId="5" xfId="1" applyNumberFormat="1" applyFont="1" applyFill="1" applyBorder="1" applyAlignment="1">
      <alignment horizontal="right"/>
    </xf>
    <xf numFmtId="167" fontId="0" fillId="5" borderId="0" xfId="1" applyNumberFormat="1" applyFont="1" applyFill="1" applyAlignment="1">
      <alignment horizontal="left" indent="1"/>
    </xf>
    <xf numFmtId="0" fontId="5" fillId="5" borderId="0" xfId="0" applyFont="1" applyFill="1"/>
    <xf numFmtId="0" fontId="0" fillId="7" borderId="3" xfId="0" applyFill="1" applyBorder="1"/>
    <xf numFmtId="10" fontId="0" fillId="10" borderId="0" xfId="0" applyNumberFormat="1" applyFill="1"/>
    <xf numFmtId="0" fontId="0" fillId="2" borderId="0" xfId="0" applyFill="1" applyAlignment="1">
      <alignment horizontal="center"/>
    </xf>
    <xf numFmtId="0" fontId="0" fillId="0" borderId="0" xfId="0" applyAlignment="1">
      <alignment wrapText="1"/>
    </xf>
    <xf numFmtId="168" fontId="0" fillId="0" borderId="0" xfId="0" applyNumberFormat="1"/>
    <xf numFmtId="0" fontId="2" fillId="0" borderId="0" xfId="0" applyFont="1"/>
    <xf numFmtId="0" fontId="0" fillId="5" borderId="2" xfId="0" applyFill="1" applyBorder="1"/>
    <xf numFmtId="0" fontId="0" fillId="5" borderId="2" xfId="0" applyFill="1" applyBorder="1" applyAlignment="1">
      <alignment wrapText="1"/>
    </xf>
    <xf numFmtId="0" fontId="0" fillId="0" borderId="2" xfId="0" applyBorder="1"/>
    <xf numFmtId="0" fontId="0" fillId="5" borderId="2" xfId="0" applyFill="1" applyBorder="1" applyAlignment="1">
      <alignment horizontal="left" indent="1"/>
    </xf>
    <xf numFmtId="0" fontId="0" fillId="0" borderId="0" xfId="0" applyAlignment="1">
      <alignment horizontal="center" vertical="center"/>
    </xf>
    <xf numFmtId="0" fontId="2" fillId="2" borderId="0" xfId="0" applyFont="1" applyFill="1"/>
    <xf numFmtId="0" fontId="0" fillId="0" borderId="0" xfId="0" applyAlignment="1">
      <alignment horizontal="center" vertical="top" wrapText="1"/>
    </xf>
    <xf numFmtId="0" fontId="0" fillId="0" borderId="0" xfId="0" applyAlignment="1">
      <alignment horizontal="left" vertical="top" wrapText="1"/>
    </xf>
    <xf numFmtId="0" fontId="7" fillId="0" borderId="0" xfId="0" applyFont="1" applyAlignment="1">
      <alignment horizontal="center" vertical="top" wrapText="1"/>
    </xf>
    <xf numFmtId="6" fontId="0" fillId="12" borderId="7" xfId="0" applyNumberFormat="1" applyFill="1" applyBorder="1"/>
    <xf numFmtId="6" fontId="0" fillId="8" borderId="7" xfId="0" applyNumberFormat="1" applyFill="1" applyBorder="1"/>
    <xf numFmtId="166" fontId="0" fillId="0" borderId="0" xfId="0" applyNumberFormat="1" applyAlignment="1">
      <alignment vertical="top" wrapText="1"/>
    </xf>
    <xf numFmtId="0" fontId="11" fillId="0" borderId="0" xfId="0" applyFont="1" applyAlignment="1">
      <alignment wrapText="1"/>
    </xf>
    <xf numFmtId="10" fontId="0" fillId="0" borderId="0" xfId="0" applyNumberFormat="1" applyAlignment="1">
      <alignment wrapText="1"/>
    </xf>
    <xf numFmtId="0" fontId="0" fillId="0" borderId="0" xfId="0" applyAlignment="1">
      <alignment horizontal="right" wrapText="1"/>
    </xf>
    <xf numFmtId="0" fontId="0" fillId="13" borderId="0" xfId="0" applyFill="1" applyAlignment="1">
      <alignment wrapText="1"/>
    </xf>
    <xf numFmtId="0" fontId="0" fillId="14" borderId="7" xfId="0" applyFill="1" applyBorder="1"/>
    <xf numFmtId="170" fontId="0" fillId="13" borderId="0" xfId="0" applyNumberFormat="1" applyFill="1" applyAlignment="1">
      <alignment wrapText="1"/>
    </xf>
    <xf numFmtId="0" fontId="0" fillId="9" borderId="0" xfId="0" applyFill="1"/>
    <xf numFmtId="170" fontId="0" fillId="0" borderId="0" xfId="0" applyNumberFormat="1"/>
    <xf numFmtId="0" fontId="0" fillId="12" borderId="0" xfId="0" applyFill="1"/>
    <xf numFmtId="171" fontId="0" fillId="2" borderId="0" xfId="0" applyNumberFormat="1" applyFill="1"/>
    <xf numFmtId="0" fontId="0" fillId="0" borderId="9" xfId="0" applyBorder="1"/>
    <xf numFmtId="0" fontId="0" fillId="6" borderId="9" xfId="0" applyFill="1" applyBorder="1"/>
    <xf numFmtId="0" fontId="0" fillId="2" borderId="9" xfId="0" applyFill="1" applyBorder="1"/>
    <xf numFmtId="0" fontId="0" fillId="4" borderId="9" xfId="0" applyFill="1" applyBorder="1" applyAlignment="1">
      <alignment wrapText="1"/>
    </xf>
    <xf numFmtId="0" fontId="0" fillId="8" borderId="9" xfId="0" applyFill="1" applyBorder="1"/>
    <xf numFmtId="0" fontId="0" fillId="0" borderId="9" xfId="0" applyBorder="1" applyAlignment="1">
      <alignment wrapText="1"/>
    </xf>
    <xf numFmtId="0" fontId="0" fillId="15" borderId="10" xfId="0" applyFill="1" applyBorder="1" applyAlignment="1">
      <alignment vertical="top" wrapText="1"/>
    </xf>
    <xf numFmtId="0" fontId="0" fillId="2" borderId="9" xfId="0" applyFill="1" applyBorder="1" applyAlignment="1">
      <alignment wrapText="1"/>
    </xf>
    <xf numFmtId="0" fontId="0" fillId="2" borderId="9" xfId="0" applyFill="1" applyBorder="1" applyAlignment="1">
      <alignment vertical="top" wrapText="1"/>
    </xf>
    <xf numFmtId="6" fontId="0" fillId="4" borderId="0" xfId="0" applyNumberFormat="1" applyFill="1"/>
    <xf numFmtId="6" fontId="0" fillId="4" borderId="1" xfId="0" applyNumberFormat="1" applyFill="1" applyBorder="1"/>
    <xf numFmtId="169" fontId="0" fillId="3" borderId="0" xfId="0" applyNumberFormat="1" applyFill="1"/>
    <xf numFmtId="0" fontId="0" fillId="0" borderId="8" xfId="0" applyBorder="1" applyAlignment="1">
      <alignment horizontal="center"/>
    </xf>
    <xf numFmtId="0" fontId="0" fillId="0" borderId="11" xfId="0" applyBorder="1"/>
    <xf numFmtId="40" fontId="0" fillId="0" borderId="0" xfId="0" applyNumberFormat="1"/>
    <xf numFmtId="0" fontId="0" fillId="0" borderId="12" xfId="0" applyBorder="1"/>
    <xf numFmtId="0" fontId="0" fillId="0" borderId="13" xfId="0" applyBorder="1"/>
    <xf numFmtId="40" fontId="0" fillId="0" borderId="1" xfId="0" applyNumberFormat="1" applyBorder="1"/>
    <xf numFmtId="0" fontId="0" fillId="0" borderId="14" xfId="0" applyBorder="1"/>
    <xf numFmtId="0" fontId="0" fillId="3" borderId="0" xfId="0" applyFill="1" applyAlignment="1">
      <alignment horizontal="right"/>
    </xf>
    <xf numFmtId="1" fontId="0" fillId="17" borderId="0" xfId="0" applyNumberFormat="1" applyFill="1"/>
    <xf numFmtId="6" fontId="0" fillId="0" borderId="1" xfId="0" applyNumberFormat="1" applyBorder="1"/>
    <xf numFmtId="0" fontId="0" fillId="17" borderId="0" xfId="0" applyFill="1"/>
    <xf numFmtId="172" fontId="0" fillId="0" borderId="0" xfId="0" applyNumberFormat="1"/>
    <xf numFmtId="0" fontId="0" fillId="16" borderId="2" xfId="0" applyFill="1" applyBorder="1" applyAlignment="1">
      <alignment wrapText="1"/>
    </xf>
    <xf numFmtId="0" fontId="0" fillId="16" borderId="2" xfId="0" applyFill="1" applyBorder="1"/>
    <xf numFmtId="38" fontId="0" fillId="3" borderId="0" xfId="0" applyNumberFormat="1" applyFill="1" applyAlignment="1">
      <alignment horizontal="right"/>
    </xf>
    <xf numFmtId="173" fontId="0" fillId="4" borderId="0" xfId="0" applyNumberFormat="1" applyFill="1"/>
    <xf numFmtId="6" fontId="0" fillId="17" borderId="0" xfId="0" applyNumberFormat="1" applyFill="1"/>
    <xf numFmtId="9" fontId="0" fillId="17" borderId="0" xfId="0" applyNumberFormat="1" applyFill="1"/>
    <xf numFmtId="6" fontId="0" fillId="16" borderId="0" xfId="0" applyNumberFormat="1" applyFill="1"/>
    <xf numFmtId="6" fontId="0" fillId="0" borderId="11" xfId="0" applyNumberFormat="1" applyBorder="1"/>
    <xf numFmtId="169" fontId="0" fillId="0" borderId="0" xfId="0" applyNumberFormat="1"/>
    <xf numFmtId="38" fontId="12" fillId="0" borderId="0" xfId="0" applyNumberFormat="1" applyFont="1"/>
    <xf numFmtId="6" fontId="0" fillId="2" borderId="0" xfId="0" applyNumberFormat="1" applyFill="1"/>
    <xf numFmtId="173" fontId="0" fillId="0" borderId="0" xfId="0" applyNumberFormat="1"/>
    <xf numFmtId="3" fontId="0" fillId="0" borderId="0" xfId="0" applyNumberFormat="1"/>
    <xf numFmtId="174" fontId="0" fillId="0" borderId="0" xfId="0" applyNumberFormat="1"/>
    <xf numFmtId="174" fontId="0" fillId="2" borderId="0" xfId="0" applyNumberFormat="1" applyFill="1"/>
    <xf numFmtId="9" fontId="0" fillId="3" borderId="0" xfId="0" applyNumberFormat="1" applyFill="1"/>
    <xf numFmtId="1" fontId="0" fillId="0" borderId="0" xfId="0" applyNumberFormat="1"/>
    <xf numFmtId="170" fontId="0" fillId="2" borderId="0" xfId="0" applyNumberFormat="1" applyFill="1"/>
    <xf numFmtId="166" fontId="0" fillId="0" borderId="1" xfId="0" applyNumberFormat="1" applyBorder="1"/>
    <xf numFmtId="9" fontId="0" fillId="18" borderId="0" xfId="0" applyNumberFormat="1" applyFill="1"/>
    <xf numFmtId="0" fontId="0" fillId="5" borderId="2" xfId="0" applyFill="1" applyBorder="1" applyAlignment="1">
      <alignment horizontal="left" wrapText="1" indent="1"/>
    </xf>
    <xf numFmtId="0" fontId="0" fillId="0" borderId="0" xfId="0" applyAlignment="1">
      <alignment horizontal="center" wrapText="1"/>
    </xf>
    <xf numFmtId="0" fontId="0" fillId="0" borderId="18" xfId="0" applyBorder="1"/>
    <xf numFmtId="167" fontId="0" fillId="0" borderId="0" xfId="1" applyNumberFormat="1" applyFont="1" applyFill="1" applyBorder="1" applyAlignment="1">
      <alignment horizontal="right"/>
    </xf>
    <xf numFmtId="0" fontId="0" fillId="0" borderId="19" xfId="0" applyBorder="1"/>
    <xf numFmtId="38" fontId="0" fillId="4" borderId="9" xfId="0" applyNumberFormat="1" applyFill="1" applyBorder="1" applyAlignment="1">
      <alignment wrapText="1"/>
    </xf>
    <xf numFmtId="40" fontId="0" fillId="3" borderId="0" xfId="0" applyNumberFormat="1" applyFill="1"/>
    <xf numFmtId="175" fontId="0" fillId="0" borderId="0" xfId="0" applyNumberFormat="1"/>
    <xf numFmtId="0" fontId="0" fillId="0" borderId="0" xfId="0" applyAlignment="1">
      <alignment horizontal="center"/>
    </xf>
    <xf numFmtId="0" fontId="0" fillId="0" borderId="10" xfId="0" applyBorder="1" applyAlignment="1">
      <alignment vertical="top" wrapText="1"/>
    </xf>
    <xf numFmtId="0" fontId="0" fillId="6" borderId="10" xfId="0" applyFill="1" applyBorder="1" applyAlignment="1">
      <alignment wrapText="1"/>
    </xf>
    <xf numFmtId="10" fontId="0" fillId="16" borderId="0" xfId="0" applyNumberFormat="1" applyFill="1" applyAlignment="1">
      <alignment horizontal="left"/>
    </xf>
    <xf numFmtId="40" fontId="0" fillId="16" borderId="0" xfId="0" applyNumberFormat="1" applyFill="1"/>
    <xf numFmtId="8" fontId="0" fillId="19" borderId="0" xfId="0" applyNumberFormat="1" applyFill="1"/>
    <xf numFmtId="1" fontId="0" fillId="2" borderId="0" xfId="0" applyNumberFormat="1" applyFill="1"/>
    <xf numFmtId="0" fontId="0" fillId="16" borderId="0" xfId="0" applyFill="1"/>
    <xf numFmtId="168" fontId="0" fillId="2" borderId="0" xfId="0" applyNumberFormat="1" applyFill="1"/>
    <xf numFmtId="10" fontId="0" fillId="17" borderId="0" xfId="0" applyNumberFormat="1" applyFill="1"/>
    <xf numFmtId="174" fontId="0" fillId="16" borderId="0" xfId="0" applyNumberFormat="1" applyFill="1"/>
    <xf numFmtId="168" fontId="0" fillId="16" borderId="0" xfId="0" applyNumberFormat="1" applyFill="1"/>
    <xf numFmtId="42" fontId="0" fillId="0" borderId="0" xfId="0" applyNumberFormat="1"/>
    <xf numFmtId="176" fontId="0" fillId="0" borderId="0" xfId="0" applyNumberFormat="1"/>
    <xf numFmtId="177" fontId="0" fillId="0" borderId="0" xfId="0" applyNumberFormat="1"/>
    <xf numFmtId="0" fontId="0" fillId="7" borderId="6" xfId="0" applyFill="1" applyBorder="1" applyAlignment="1">
      <alignment wrapText="1"/>
    </xf>
    <xf numFmtId="0" fontId="0" fillId="0" borderId="4" xfId="0" applyBorder="1" applyAlignment="1">
      <alignment wrapText="1"/>
    </xf>
    <xf numFmtId="0" fontId="0" fillId="11" borderId="3" xfId="0" applyFill="1" applyBorder="1"/>
    <xf numFmtId="0" fontId="0" fillId="11" borderId="4" xfId="0" applyFill="1" applyBorder="1"/>
    <xf numFmtId="0" fontId="10" fillId="0" borderId="0" xfId="0" applyFont="1" applyAlignment="1">
      <alignment horizontal="center"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4" fillId="5" borderId="0" xfId="0" applyFont="1" applyFill="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center" vertical="center" wrapText="1"/>
    </xf>
    <xf numFmtId="0" fontId="5" fillId="2" borderId="0" xfId="0" applyFont="1" applyFill="1" applyAlignment="1">
      <alignment horizontal="center" vertical="center" wrapText="1"/>
    </xf>
    <xf numFmtId="0" fontId="0" fillId="7" borderId="3" xfId="0" applyFill="1" applyBorder="1"/>
    <xf numFmtId="0" fontId="0" fillId="0" borderId="4" xfId="0" applyBorder="1"/>
    <xf numFmtId="0" fontId="3" fillId="7" borderId="3" xfId="2" applyFill="1" applyBorder="1" applyAlignment="1"/>
    <xf numFmtId="0" fontId="3" fillId="7" borderId="2" xfId="2" applyFill="1" applyBorder="1" applyAlignment="1"/>
    <xf numFmtId="0" fontId="0" fillId="0" borderId="2" xfId="0" applyBorder="1"/>
    <xf numFmtId="0" fontId="0" fillId="3" borderId="3" xfId="0" applyFill="1" applyBorder="1"/>
    <xf numFmtId="0" fontId="0" fillId="16" borderId="15" xfId="0" applyFill="1" applyBorder="1" applyAlignment="1">
      <alignment horizontal="center"/>
    </xf>
    <xf numFmtId="0" fontId="0" fillId="16" borderId="16" xfId="0" applyFill="1" applyBorder="1" applyAlignment="1">
      <alignment horizontal="center"/>
    </xf>
    <xf numFmtId="0" fontId="0" fillId="16" borderId="17" xfId="0" applyFill="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avid Comis" id="{A5C9462E-F55C-40A6-AFEE-4F7C68ECBA49}" userId="S::David.Comis@Maryland.gov::9e2f6511-e4b4-4ed1-9993-bad91e103784" providerId="AD"/>
  <person displayName="David Comis" id="{34C6C1BC-92F6-4D5A-B12D-DE7D3117F2D3}" userId="S::David.Comis@maryland.gov::9e2f6511-e4b4-4ed1-9993-bad91e1037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7" dT="2021-06-11T19:03:44.35" personId="{A5C9462E-F55C-40A6-AFEE-4F7C68ECBA49}" id="{89F875E8-C9D4-4FDB-9A80-7779F2240B68}">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2.xml><?xml version="1.0" encoding="utf-8"?>
<ThreadedComments xmlns="http://schemas.microsoft.com/office/spreadsheetml/2018/threadedcomments" xmlns:x="http://schemas.openxmlformats.org/spreadsheetml/2006/main">
  <threadedComment ref="C35" dT="2021-06-11T19:03:44.35" personId="{A5C9462E-F55C-40A6-AFEE-4F7C68ECBA49}" id="{FCCA54C8-2E83-4012-A6FD-688C15E02EBC}">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4-09-04T21:46:54.48" personId="{34C6C1BC-92F6-4D5A-B12D-DE7D3117F2D3}" id="{D39C3E5C-8613-4B9B-92B4-FE96F5408E1F}">
    <text>Grant amount  $/kW</text>
  </threadedComment>
  <threadedComment ref="S4" dT="2024-09-04T21:24:16.10" personId="{34C6C1BC-92F6-4D5A-B12D-DE7D3117F2D3}" id="{5E1455FB-DDE1-4539-AA52-E3C86E29EA62}">
    <text>Cost of new inverter  $/kW</text>
  </threadedComment>
  <threadedComment ref="B17" dT="2025-07-07T16:29:30.30" personId="{34C6C1BC-92F6-4D5A-B12D-DE7D3117F2D3}" id="{5A833C11-D7F4-4C2C-992E-44A8DC318134}">
    <text>Use 1551 if a single axis tracking array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68"/>
  <sheetViews>
    <sheetView topLeftCell="A15" workbookViewId="0">
      <selection activeCell="C24" sqref="C24"/>
    </sheetView>
  </sheetViews>
  <sheetFormatPr defaultRowHeight="14.4" x14ac:dyDescent="0.3"/>
  <cols>
    <col min="3" max="3" width="46" customWidth="1"/>
    <col min="4" max="4" width="24.88671875" customWidth="1"/>
  </cols>
  <sheetData>
    <row r="1" spans="2:6" ht="18" x14ac:dyDescent="0.35">
      <c r="B1" s="136" t="s">
        <v>186</v>
      </c>
      <c r="C1" s="137"/>
      <c r="D1" s="137"/>
      <c r="E1" s="137"/>
      <c r="F1" s="28"/>
    </row>
    <row r="2" spans="2:6" ht="18" x14ac:dyDescent="0.35">
      <c r="B2" s="138" t="s">
        <v>22</v>
      </c>
      <c r="C2" s="139"/>
      <c r="D2" s="139"/>
      <c r="E2" s="139"/>
      <c r="F2" s="28"/>
    </row>
    <row r="4" spans="2:6" x14ac:dyDescent="0.3">
      <c r="B4" s="24" t="s">
        <v>15</v>
      </c>
    </row>
    <row r="5" spans="2:6" x14ac:dyDescent="0.3">
      <c r="C5" s="35" t="s">
        <v>101</v>
      </c>
      <c r="D5" s="140"/>
      <c r="E5" s="141"/>
    </row>
    <row r="6" spans="2:6" x14ac:dyDescent="0.3">
      <c r="C6" s="35" t="s">
        <v>16</v>
      </c>
      <c r="D6" s="140"/>
      <c r="E6" s="141"/>
    </row>
    <row r="7" spans="2:6" x14ac:dyDescent="0.3">
      <c r="C7" s="35" t="s">
        <v>187</v>
      </c>
      <c r="D7" s="145"/>
      <c r="E7" s="141"/>
    </row>
    <row r="8" spans="2:6" x14ac:dyDescent="0.3">
      <c r="C8" s="35" t="s">
        <v>111</v>
      </c>
      <c r="D8" s="140"/>
      <c r="E8" s="141"/>
    </row>
    <row r="9" spans="2:6" x14ac:dyDescent="0.3">
      <c r="C9" s="35" t="s">
        <v>99</v>
      </c>
      <c r="D9" s="140"/>
      <c r="E9" s="141"/>
    </row>
    <row r="10" spans="2:6" x14ac:dyDescent="0.3">
      <c r="C10" s="35" t="s">
        <v>100</v>
      </c>
      <c r="D10" s="140"/>
      <c r="E10" s="141"/>
    </row>
    <row r="11" spans="2:6" x14ac:dyDescent="0.3">
      <c r="C11" s="35" t="s">
        <v>102</v>
      </c>
      <c r="D11" s="29"/>
      <c r="E11" s="22"/>
    </row>
    <row r="12" spans="2:6" x14ac:dyDescent="0.3">
      <c r="C12" s="35" t="s">
        <v>47</v>
      </c>
      <c r="D12" s="29"/>
      <c r="E12" s="22"/>
    </row>
    <row r="13" spans="2:6" x14ac:dyDescent="0.3">
      <c r="C13" s="35" t="s">
        <v>48</v>
      </c>
      <c r="D13" s="29"/>
      <c r="E13" s="22"/>
    </row>
    <row r="14" spans="2:6" x14ac:dyDescent="0.3">
      <c r="C14" s="35" t="s">
        <v>49</v>
      </c>
      <c r="D14" s="29"/>
      <c r="E14" s="22"/>
    </row>
    <row r="15" spans="2:6" x14ac:dyDescent="0.3">
      <c r="C15" s="35" t="s">
        <v>50</v>
      </c>
      <c r="D15" s="29"/>
      <c r="E15" s="22"/>
    </row>
    <row r="16" spans="2:6" x14ac:dyDescent="0.3">
      <c r="C16" s="35" t="s">
        <v>103</v>
      </c>
      <c r="D16" s="142"/>
      <c r="E16" s="141"/>
    </row>
    <row r="17" spans="2:5" x14ac:dyDescent="0.3">
      <c r="C17" s="35" t="s">
        <v>104</v>
      </c>
      <c r="D17" s="142"/>
      <c r="E17" s="141"/>
    </row>
    <row r="18" spans="2:5" x14ac:dyDescent="0.3">
      <c r="C18" s="35" t="s">
        <v>105</v>
      </c>
      <c r="D18" s="143"/>
      <c r="E18" s="144"/>
    </row>
    <row r="20" spans="2:5" x14ac:dyDescent="0.3">
      <c r="B20" s="24" t="s">
        <v>17</v>
      </c>
    </row>
    <row r="21" spans="2:5" x14ac:dyDescent="0.3">
      <c r="B21" s="24"/>
      <c r="C21" s="35" t="s">
        <v>188</v>
      </c>
      <c r="D21" s="140"/>
      <c r="E21" s="141"/>
    </row>
    <row r="22" spans="2:5" x14ac:dyDescent="0.3">
      <c r="C22" s="35" t="s">
        <v>18</v>
      </c>
      <c r="D22" s="140"/>
      <c r="E22" s="141"/>
    </row>
    <row r="23" spans="2:5" x14ac:dyDescent="0.3">
      <c r="C23" s="35" t="s">
        <v>39</v>
      </c>
      <c r="D23" s="140"/>
      <c r="E23" s="141"/>
    </row>
    <row r="24" spans="2:5" x14ac:dyDescent="0.3">
      <c r="C24" s="35" t="s">
        <v>226</v>
      </c>
      <c r="D24" s="140"/>
      <c r="E24" s="141"/>
    </row>
    <row r="25" spans="2:5" x14ac:dyDescent="0.3">
      <c r="C25" s="35" t="s">
        <v>189</v>
      </c>
      <c r="D25" s="140"/>
      <c r="E25" s="141"/>
    </row>
    <row r="26" spans="2:5" x14ac:dyDescent="0.3">
      <c r="C26" s="35" t="s">
        <v>128</v>
      </c>
      <c r="D26" s="26"/>
      <c r="E26" s="27" t="s">
        <v>29</v>
      </c>
    </row>
    <row r="27" spans="2:5" x14ac:dyDescent="0.3">
      <c r="C27" s="35" t="s">
        <v>19</v>
      </c>
      <c r="D27" s="25"/>
      <c r="E27" s="27" t="s">
        <v>30</v>
      </c>
    </row>
    <row r="28" spans="2:5" x14ac:dyDescent="0.3">
      <c r="C28" s="35" t="s">
        <v>191</v>
      </c>
      <c r="D28" s="25"/>
      <c r="E28" s="27" t="s">
        <v>190</v>
      </c>
    </row>
    <row r="29" spans="2:5" x14ac:dyDescent="0.3">
      <c r="C29" s="35" t="s">
        <v>221</v>
      </c>
      <c r="D29" s="25"/>
      <c r="E29" s="27" t="s">
        <v>29</v>
      </c>
    </row>
    <row r="30" spans="2:5" x14ac:dyDescent="0.3">
      <c r="C30" s="35" t="s">
        <v>115</v>
      </c>
      <c r="D30" s="25"/>
      <c r="E30" s="27" t="s">
        <v>114</v>
      </c>
    </row>
    <row r="31" spans="2:5" x14ac:dyDescent="0.3">
      <c r="C31" s="35" t="s">
        <v>21</v>
      </c>
      <c r="D31" s="25"/>
      <c r="E31" s="27"/>
    </row>
    <row r="32" spans="2:5" ht="48.75" customHeight="1" x14ac:dyDescent="0.3">
      <c r="C32" s="81" t="s">
        <v>192</v>
      </c>
      <c r="D32" s="25"/>
      <c r="E32" s="27"/>
    </row>
    <row r="33" spans="2:5" x14ac:dyDescent="0.3">
      <c r="C33" s="82" t="s">
        <v>40</v>
      </c>
      <c r="D33" s="25"/>
      <c r="E33" s="27"/>
    </row>
    <row r="34" spans="2:5" x14ac:dyDescent="0.3">
      <c r="C34" s="81" t="s">
        <v>97</v>
      </c>
      <c r="D34" s="25"/>
      <c r="E34" s="27"/>
    </row>
    <row r="35" spans="2:5" x14ac:dyDescent="0.3">
      <c r="C35" s="82" t="s">
        <v>98</v>
      </c>
      <c r="D35" s="25"/>
      <c r="E35" s="27"/>
    </row>
    <row r="36" spans="2:5" x14ac:dyDescent="0.3">
      <c r="C36" s="82" t="s">
        <v>222</v>
      </c>
      <c r="D36" s="25"/>
      <c r="E36" s="27"/>
    </row>
    <row r="37" spans="2:5" x14ac:dyDescent="0.3">
      <c r="C37" s="23"/>
      <c r="D37" s="104"/>
      <c r="E37" s="27"/>
    </row>
    <row r="38" spans="2:5" x14ac:dyDescent="0.3">
      <c r="B38" s="24" t="s">
        <v>193</v>
      </c>
      <c r="E38" s="27"/>
    </row>
    <row r="39" spans="2:5" ht="28.8" x14ac:dyDescent="0.3">
      <c r="C39" s="36" t="s">
        <v>223</v>
      </c>
      <c r="D39" s="124"/>
      <c r="E39" s="125"/>
    </row>
    <row r="40" spans="2:5" x14ac:dyDescent="0.3">
      <c r="C40" s="105"/>
    </row>
    <row r="41" spans="2:5" x14ac:dyDescent="0.3">
      <c r="E41" s="27"/>
    </row>
    <row r="42" spans="2:5" x14ac:dyDescent="0.3">
      <c r="B42" s="24" t="s">
        <v>20</v>
      </c>
    </row>
    <row r="43" spans="2:5" x14ac:dyDescent="0.3">
      <c r="C43" s="38" t="s">
        <v>23</v>
      </c>
      <c r="D43" s="126"/>
      <c r="E43" s="127"/>
    </row>
    <row r="44" spans="2:5" x14ac:dyDescent="0.3">
      <c r="C44" s="37" t="s">
        <v>24</v>
      </c>
      <c r="D44" s="126"/>
      <c r="E44" s="127"/>
    </row>
    <row r="49" spans="2:12" x14ac:dyDescent="0.3">
      <c r="B49" s="34" t="s">
        <v>31</v>
      </c>
    </row>
    <row r="50" spans="2:12" x14ac:dyDescent="0.3">
      <c r="B50" s="39">
        <v>1</v>
      </c>
      <c r="C50" t="s">
        <v>32</v>
      </c>
    </row>
    <row r="51" spans="2:12" x14ac:dyDescent="0.3">
      <c r="B51" s="39">
        <v>2</v>
      </c>
      <c r="C51" t="s">
        <v>33</v>
      </c>
    </row>
    <row r="52" spans="2:12" x14ac:dyDescent="0.3">
      <c r="B52" s="39">
        <v>3</v>
      </c>
      <c r="C52" t="s">
        <v>34</v>
      </c>
    </row>
    <row r="53" spans="2:12" x14ac:dyDescent="0.3">
      <c r="B53" s="39">
        <v>4</v>
      </c>
      <c r="C53" t="s">
        <v>35</v>
      </c>
    </row>
    <row r="54" spans="2:12" ht="48.6" customHeight="1" x14ac:dyDescent="0.3">
      <c r="B54" s="39">
        <v>5</v>
      </c>
      <c r="C54" s="32" t="s">
        <v>36</v>
      </c>
    </row>
    <row r="55" spans="2:12" ht="28.8" x14ac:dyDescent="0.3">
      <c r="B55" s="39">
        <v>6</v>
      </c>
      <c r="C55" s="32" t="s">
        <v>37</v>
      </c>
    </row>
    <row r="56" spans="2:12" x14ac:dyDescent="0.3">
      <c r="B56" s="39">
        <v>7</v>
      </c>
      <c r="C56" t="s">
        <v>38</v>
      </c>
    </row>
    <row r="57" spans="2:12" ht="32.25" customHeight="1" x14ac:dyDescent="0.3">
      <c r="B57" s="39">
        <v>8</v>
      </c>
      <c r="C57" s="32" t="s">
        <v>129</v>
      </c>
    </row>
    <row r="58" spans="2:12" x14ac:dyDescent="0.3">
      <c r="B58" s="39">
        <v>9</v>
      </c>
      <c r="C58" s="32" t="s">
        <v>106</v>
      </c>
    </row>
    <row r="59" spans="2:12" ht="43.2" x14ac:dyDescent="0.3">
      <c r="B59" s="39">
        <v>10</v>
      </c>
      <c r="C59" s="32" t="s">
        <v>194</v>
      </c>
    </row>
    <row r="60" spans="2:12" x14ac:dyDescent="0.3">
      <c r="B60" s="39"/>
    </row>
    <row r="61" spans="2:12" ht="28.5" customHeight="1" x14ac:dyDescent="0.3">
      <c r="B61" s="130" t="s">
        <v>46</v>
      </c>
      <c r="C61" s="131"/>
      <c r="D61" s="131"/>
      <c r="E61" s="43"/>
      <c r="F61" s="43"/>
      <c r="G61" s="43"/>
      <c r="H61" s="43"/>
      <c r="I61" s="43"/>
      <c r="J61" s="43"/>
      <c r="K61" s="32"/>
      <c r="L61" s="32"/>
    </row>
    <row r="62" spans="2:12" ht="71.25" customHeight="1" x14ac:dyDescent="0.3">
      <c r="B62" s="132" t="s">
        <v>112</v>
      </c>
      <c r="C62" s="133"/>
      <c r="D62" s="133"/>
      <c r="E62" s="42"/>
      <c r="F62" s="42"/>
      <c r="G62" s="42"/>
      <c r="H62" s="42"/>
      <c r="I62" s="42"/>
      <c r="J62" s="42"/>
      <c r="K62" s="42"/>
      <c r="L62" s="42"/>
    </row>
    <row r="63" spans="2:12" ht="54" customHeight="1" x14ac:dyDescent="0.3">
      <c r="B63" s="134" t="s">
        <v>44</v>
      </c>
      <c r="C63" s="131"/>
      <c r="D63" s="131"/>
      <c r="E63" s="41"/>
      <c r="F63" s="41"/>
      <c r="G63" s="41"/>
      <c r="H63" s="41"/>
      <c r="I63" s="41"/>
      <c r="J63" s="41"/>
      <c r="K63" s="41"/>
      <c r="L63" s="41"/>
    </row>
    <row r="64" spans="2:12" ht="29.25" customHeight="1" x14ac:dyDescent="0.3">
      <c r="B64" s="135" t="s">
        <v>45</v>
      </c>
      <c r="C64" s="131"/>
      <c r="D64" s="131"/>
      <c r="E64" s="41"/>
      <c r="F64" s="41"/>
      <c r="G64" s="41"/>
      <c r="H64" s="41"/>
      <c r="I64" s="41"/>
      <c r="J64" s="41"/>
      <c r="K64" s="41"/>
      <c r="L64" s="41"/>
    </row>
    <row r="65" spans="2:12" ht="72.75" customHeight="1" x14ac:dyDescent="0.3">
      <c r="B65" s="128" t="s">
        <v>113</v>
      </c>
      <c r="C65" s="129"/>
      <c r="D65" s="129"/>
      <c r="E65" s="32"/>
      <c r="F65" s="32"/>
      <c r="G65" s="32"/>
      <c r="H65" s="32"/>
      <c r="I65" s="32"/>
      <c r="J65" s="32"/>
      <c r="K65" s="32"/>
      <c r="L65" s="32"/>
    </row>
    <row r="66" spans="2:12" x14ac:dyDescent="0.3">
      <c r="B66" s="39"/>
    </row>
    <row r="67" spans="2:12" x14ac:dyDescent="0.3">
      <c r="C67" t="s">
        <v>195</v>
      </c>
    </row>
    <row r="68" spans="2:12" x14ac:dyDescent="0.3">
      <c r="C68" t="s">
        <v>107</v>
      </c>
    </row>
  </sheetData>
  <protectedRanges>
    <protectedRange sqref="I62:I65 K62:K65" name="Range2"/>
  </protectedRanges>
  <mergeCells count="24">
    <mergeCell ref="B1:E1"/>
    <mergeCell ref="B2:E2"/>
    <mergeCell ref="D25:E25"/>
    <mergeCell ref="D5:E5"/>
    <mergeCell ref="D6:E6"/>
    <mergeCell ref="D8:E8"/>
    <mergeCell ref="D22:E22"/>
    <mergeCell ref="D24:E24"/>
    <mergeCell ref="D16:E16"/>
    <mergeCell ref="D18:E18"/>
    <mergeCell ref="D23:E23"/>
    <mergeCell ref="D17:E17"/>
    <mergeCell ref="D7:E7"/>
    <mergeCell ref="D9:E9"/>
    <mergeCell ref="D10:E10"/>
    <mergeCell ref="D21:E21"/>
    <mergeCell ref="D39:E39"/>
    <mergeCell ref="D43:E43"/>
    <mergeCell ref="D44:E44"/>
    <mergeCell ref="B65:D65"/>
    <mergeCell ref="B61:D61"/>
    <mergeCell ref="B62:D62"/>
    <mergeCell ref="B63:D63"/>
    <mergeCell ref="B64:D64"/>
  </mergeCells>
  <pageMargins left="0.7" right="0.7"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E432-8953-4EBC-9011-30201D62DC8B}">
  <sheetPr>
    <tabColor theme="7" tint="0.79998168889431442"/>
  </sheetPr>
  <dimension ref="B2:S22"/>
  <sheetViews>
    <sheetView workbookViewId="0">
      <selection activeCell="C2" sqref="C2"/>
    </sheetView>
  </sheetViews>
  <sheetFormatPr defaultRowHeight="14.4" x14ac:dyDescent="0.3"/>
  <cols>
    <col min="3" max="3" width="11.88671875" customWidth="1"/>
  </cols>
  <sheetData>
    <row r="2" spans="2:19" ht="72" x14ac:dyDescent="0.3">
      <c r="B2" s="32"/>
      <c r="C2" s="47" t="s">
        <v>280</v>
      </c>
      <c r="D2" s="48" t="s">
        <v>55</v>
      </c>
      <c r="E2" s="32"/>
      <c r="F2" s="32" t="s">
        <v>82</v>
      </c>
      <c r="G2" s="32" t="s">
        <v>83</v>
      </c>
      <c r="H2" s="32" t="s">
        <v>84</v>
      </c>
      <c r="I2" s="32" t="s">
        <v>85</v>
      </c>
      <c r="J2" s="32"/>
      <c r="K2" s="32" t="s">
        <v>86</v>
      </c>
      <c r="L2" s="32" t="s">
        <v>87</v>
      </c>
      <c r="M2" s="32" t="s">
        <v>88</v>
      </c>
      <c r="N2" s="32" t="s">
        <v>89</v>
      </c>
      <c r="O2" s="32" t="s">
        <v>90</v>
      </c>
      <c r="P2" s="32" t="s">
        <v>60</v>
      </c>
      <c r="Q2" s="32" t="s">
        <v>66</v>
      </c>
      <c r="R2" s="52" t="s">
        <v>67</v>
      </c>
      <c r="S2" s="50" t="s">
        <v>68</v>
      </c>
    </row>
    <row r="3" spans="2:19" x14ac:dyDescent="0.3">
      <c r="B3" t="s">
        <v>69</v>
      </c>
      <c r="C3" s="4"/>
      <c r="D3" s="1" t="e">
        <f>C3/SUM($C$3:$C$14)</f>
        <v>#DIV/0!</v>
      </c>
      <c r="F3" s="4"/>
      <c r="G3" s="4"/>
      <c r="H3" s="4"/>
      <c r="I3" s="4"/>
      <c r="K3" s="4"/>
      <c r="L3" s="4"/>
      <c r="M3" s="4"/>
      <c r="N3" s="4"/>
      <c r="O3" s="4"/>
      <c r="P3" s="4"/>
      <c r="Q3" s="53">
        <v>0</v>
      </c>
      <c r="R3" s="98">
        <f t="shared" ref="R3:R14" si="0">SUM(F3:Q3)</f>
        <v>0</v>
      </c>
      <c r="S3" t="e">
        <f t="shared" ref="S3:S14" si="1">R3*D3</f>
        <v>#DIV/0!</v>
      </c>
    </row>
    <row r="4" spans="2:19" x14ac:dyDescent="0.3">
      <c r="B4" t="s">
        <v>70</v>
      </c>
      <c r="C4" s="4"/>
      <c r="D4" s="1" t="e">
        <f t="shared" ref="D4:D14" si="2">C4/SUM($C$3:$C$14)</f>
        <v>#DIV/0!</v>
      </c>
      <c r="F4" s="4"/>
      <c r="G4" s="4"/>
      <c r="H4" s="4"/>
      <c r="I4" s="4"/>
      <c r="K4" s="4"/>
      <c r="L4" s="4"/>
      <c r="M4" s="4"/>
      <c r="N4" s="4"/>
      <c r="O4" s="4"/>
      <c r="P4" s="4"/>
      <c r="Q4" s="53">
        <v>0</v>
      </c>
      <c r="R4" s="98">
        <f t="shared" si="0"/>
        <v>0</v>
      </c>
      <c r="S4" t="e">
        <f t="shared" si="1"/>
        <v>#DIV/0!</v>
      </c>
    </row>
    <row r="5" spans="2:19" x14ac:dyDescent="0.3">
      <c r="B5" t="s">
        <v>71</v>
      </c>
      <c r="C5" s="4"/>
      <c r="D5" s="1" t="e">
        <f t="shared" si="2"/>
        <v>#DIV/0!</v>
      </c>
      <c r="F5" s="4"/>
      <c r="G5" s="4"/>
      <c r="H5" s="4"/>
      <c r="I5" s="4"/>
      <c r="K5" s="4"/>
      <c r="L5" s="4"/>
      <c r="M5" s="4"/>
      <c r="N5" s="4"/>
      <c r="O5" s="4"/>
      <c r="P5" s="4"/>
      <c r="Q5" s="53">
        <v>0</v>
      </c>
      <c r="R5" s="98">
        <f t="shared" si="0"/>
        <v>0</v>
      </c>
      <c r="S5" t="e">
        <f t="shared" si="1"/>
        <v>#DIV/0!</v>
      </c>
    </row>
    <row r="6" spans="2:19" x14ac:dyDescent="0.3">
      <c r="B6" t="s">
        <v>72</v>
      </c>
      <c r="C6" s="4"/>
      <c r="D6" s="1" t="e">
        <f t="shared" si="2"/>
        <v>#DIV/0!</v>
      </c>
      <c r="F6" s="4"/>
      <c r="G6" s="4"/>
      <c r="H6" s="4"/>
      <c r="I6" s="4"/>
      <c r="K6" s="4"/>
      <c r="L6" s="4"/>
      <c r="M6" s="4"/>
      <c r="N6" s="4"/>
      <c r="O6" s="4"/>
      <c r="P6" s="4"/>
      <c r="Q6" s="53">
        <v>0</v>
      </c>
      <c r="R6" s="98">
        <f t="shared" si="0"/>
        <v>0</v>
      </c>
      <c r="S6" t="e">
        <f t="shared" si="1"/>
        <v>#DIV/0!</v>
      </c>
    </row>
    <row r="7" spans="2:19" x14ac:dyDescent="0.3">
      <c r="B7" t="s">
        <v>73</v>
      </c>
      <c r="C7" s="4"/>
      <c r="D7" s="1" t="e">
        <f t="shared" si="2"/>
        <v>#DIV/0!</v>
      </c>
      <c r="F7" s="4"/>
      <c r="G7" s="4"/>
      <c r="H7" s="4"/>
      <c r="I7" s="4"/>
      <c r="K7" s="4"/>
      <c r="L7" s="4"/>
      <c r="M7" s="4"/>
      <c r="N7" s="4"/>
      <c r="O7" s="4"/>
      <c r="P7" s="4"/>
      <c r="Q7" s="53">
        <v>0</v>
      </c>
      <c r="R7" s="98">
        <f t="shared" si="0"/>
        <v>0</v>
      </c>
      <c r="S7" t="e">
        <f t="shared" si="1"/>
        <v>#DIV/0!</v>
      </c>
    </row>
    <row r="8" spans="2:19" x14ac:dyDescent="0.3">
      <c r="B8" t="s">
        <v>74</v>
      </c>
      <c r="C8" s="4"/>
      <c r="D8" s="1" t="e">
        <f t="shared" si="2"/>
        <v>#DIV/0!</v>
      </c>
      <c r="F8" s="4"/>
      <c r="G8" s="4"/>
      <c r="H8" s="4"/>
      <c r="I8" s="4"/>
      <c r="K8" s="4"/>
      <c r="L8" s="4"/>
      <c r="M8" s="4"/>
      <c r="N8" s="4"/>
      <c r="O8" s="4"/>
      <c r="P8" s="4"/>
      <c r="Q8" s="53">
        <v>0</v>
      </c>
      <c r="R8" s="98">
        <f t="shared" si="0"/>
        <v>0</v>
      </c>
      <c r="S8" t="e">
        <f t="shared" si="1"/>
        <v>#DIV/0!</v>
      </c>
    </row>
    <row r="9" spans="2:19" x14ac:dyDescent="0.3">
      <c r="B9" t="s">
        <v>75</v>
      </c>
      <c r="C9" s="4"/>
      <c r="D9" s="1" t="e">
        <f t="shared" si="2"/>
        <v>#DIV/0!</v>
      </c>
      <c r="F9" s="4"/>
      <c r="G9" s="4"/>
      <c r="H9" s="4"/>
      <c r="I9" s="4"/>
      <c r="K9" s="4"/>
      <c r="L9" s="4"/>
      <c r="M9" s="4"/>
      <c r="N9" s="4"/>
      <c r="O9" s="4"/>
      <c r="P9" s="4"/>
      <c r="Q9" s="53">
        <v>0</v>
      </c>
      <c r="R9" s="98">
        <f t="shared" si="0"/>
        <v>0</v>
      </c>
      <c r="S9" t="e">
        <f t="shared" si="1"/>
        <v>#DIV/0!</v>
      </c>
    </row>
    <row r="10" spans="2:19" x14ac:dyDescent="0.3">
      <c r="B10" t="s">
        <v>76</v>
      </c>
      <c r="C10" s="4"/>
      <c r="D10" s="1" t="e">
        <f t="shared" si="2"/>
        <v>#DIV/0!</v>
      </c>
      <c r="F10" s="4"/>
      <c r="G10" s="4"/>
      <c r="H10" s="4"/>
      <c r="I10" s="4"/>
      <c r="K10" s="4"/>
      <c r="L10" s="4"/>
      <c r="M10" s="4"/>
      <c r="N10" s="4"/>
      <c r="O10" s="4"/>
      <c r="P10" s="4"/>
      <c r="Q10" s="53">
        <v>0</v>
      </c>
      <c r="R10" s="98">
        <f t="shared" si="0"/>
        <v>0</v>
      </c>
      <c r="S10" t="e">
        <f t="shared" si="1"/>
        <v>#DIV/0!</v>
      </c>
    </row>
    <row r="11" spans="2:19" x14ac:dyDescent="0.3">
      <c r="B11" t="s">
        <v>77</v>
      </c>
      <c r="C11" s="4"/>
      <c r="D11" s="1" t="e">
        <f t="shared" si="2"/>
        <v>#DIV/0!</v>
      </c>
      <c r="F11" s="4"/>
      <c r="G11" s="4"/>
      <c r="H11" s="4"/>
      <c r="I11" s="4"/>
      <c r="K11" s="4"/>
      <c r="L11" s="4"/>
      <c r="M11" s="4"/>
      <c r="N11" s="4"/>
      <c r="O11" s="4"/>
      <c r="P11" s="4"/>
      <c r="Q11" s="53">
        <v>0</v>
      </c>
      <c r="R11" s="98">
        <f t="shared" si="0"/>
        <v>0</v>
      </c>
      <c r="S11" t="e">
        <f t="shared" si="1"/>
        <v>#DIV/0!</v>
      </c>
    </row>
    <row r="12" spans="2:19" x14ac:dyDescent="0.3">
      <c r="B12" t="s">
        <v>78</v>
      </c>
      <c r="C12" s="4"/>
      <c r="D12" s="1" t="e">
        <f t="shared" si="2"/>
        <v>#DIV/0!</v>
      </c>
      <c r="F12" s="4"/>
      <c r="G12" s="4"/>
      <c r="H12" s="4"/>
      <c r="I12" s="4"/>
      <c r="K12" s="4"/>
      <c r="L12" s="4"/>
      <c r="M12" s="4"/>
      <c r="N12" s="4"/>
      <c r="O12" s="4"/>
      <c r="P12" s="4"/>
      <c r="Q12" s="53">
        <v>0</v>
      </c>
      <c r="R12" s="98">
        <f t="shared" si="0"/>
        <v>0</v>
      </c>
      <c r="S12" t="e">
        <f t="shared" si="1"/>
        <v>#DIV/0!</v>
      </c>
    </row>
    <row r="13" spans="2:19" x14ac:dyDescent="0.3">
      <c r="B13" t="s">
        <v>79</v>
      </c>
      <c r="C13" s="4"/>
      <c r="D13" s="1" t="e">
        <f t="shared" si="2"/>
        <v>#DIV/0!</v>
      </c>
      <c r="F13" s="4"/>
      <c r="G13" s="4"/>
      <c r="H13" s="4"/>
      <c r="I13" s="4"/>
      <c r="K13" s="4"/>
      <c r="L13" s="4"/>
      <c r="M13" s="4"/>
      <c r="N13" s="4"/>
      <c r="O13" s="4"/>
      <c r="P13" s="4"/>
      <c r="Q13" s="53">
        <v>0</v>
      </c>
      <c r="R13" s="98">
        <f t="shared" si="0"/>
        <v>0</v>
      </c>
      <c r="S13" t="e">
        <f t="shared" si="1"/>
        <v>#DIV/0!</v>
      </c>
    </row>
    <row r="14" spans="2:19" x14ac:dyDescent="0.3">
      <c r="B14" t="s">
        <v>80</v>
      </c>
      <c r="C14" s="4"/>
      <c r="D14" s="1" t="e">
        <f t="shared" si="2"/>
        <v>#DIV/0!</v>
      </c>
      <c r="F14" s="4"/>
      <c r="G14" s="4"/>
      <c r="H14" s="4"/>
      <c r="I14" s="4"/>
      <c r="K14" s="4"/>
      <c r="L14" s="4"/>
      <c r="M14" s="4"/>
      <c r="N14" s="4"/>
      <c r="O14" s="4"/>
      <c r="P14" s="4"/>
      <c r="Q14" s="53">
        <v>0</v>
      </c>
      <c r="R14" s="98">
        <f t="shared" si="0"/>
        <v>0</v>
      </c>
      <c r="S14" t="e">
        <f t="shared" si="1"/>
        <v>#DIV/0!</v>
      </c>
    </row>
    <row r="15" spans="2:19" x14ac:dyDescent="0.3">
      <c r="D15" s="1"/>
      <c r="R15" s="54"/>
    </row>
    <row r="16" spans="2:19" ht="15" thickBot="1" x14ac:dyDescent="0.35">
      <c r="D16" s="1"/>
      <c r="R16" s="54"/>
    </row>
    <row r="17" spans="2:19" ht="15.6" thickTop="1" thickBot="1" x14ac:dyDescent="0.35">
      <c r="D17" s="1"/>
      <c r="M17" t="s">
        <v>91</v>
      </c>
      <c r="N17" t="s">
        <v>92</v>
      </c>
      <c r="Q17" t="s">
        <v>276</v>
      </c>
      <c r="R17" s="54"/>
      <c r="S17" s="51" t="e">
        <f>SUM(S3:S14)</f>
        <v>#DIV/0!</v>
      </c>
    </row>
    <row r="18" spans="2:19" ht="15" thickTop="1" x14ac:dyDescent="0.3"/>
    <row r="20" spans="2:19" x14ac:dyDescent="0.3">
      <c r="B20" s="4" t="s">
        <v>116</v>
      </c>
      <c r="C20" s="4"/>
      <c r="D20" s="4"/>
    </row>
    <row r="21" spans="2:19" x14ac:dyDescent="0.3">
      <c r="B21" t="s">
        <v>275</v>
      </c>
    </row>
    <row r="22" spans="2:19" x14ac:dyDescent="0.3">
      <c r="B22" t="s">
        <v>277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A5A7-99C1-489A-9236-D688E352F71E}">
  <sheetPr>
    <tabColor theme="7" tint="0.79998168889431442"/>
  </sheetPr>
  <dimension ref="B2:S22"/>
  <sheetViews>
    <sheetView workbookViewId="0">
      <selection activeCell="C2" sqref="C2"/>
    </sheetView>
  </sheetViews>
  <sheetFormatPr defaultRowHeight="14.4" x14ac:dyDescent="0.3"/>
  <cols>
    <col min="3" max="3" width="11.33203125" customWidth="1"/>
    <col min="7" max="8" width="12.33203125" customWidth="1"/>
    <col min="15" max="15" width="11.44140625" customWidth="1"/>
    <col min="16" max="16" width="10.88671875" customWidth="1"/>
    <col min="19" max="19" width="11.88671875" customWidth="1"/>
  </cols>
  <sheetData>
    <row r="2" spans="2:19" ht="86.4" x14ac:dyDescent="0.3">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3">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3">
      <c r="B4" t="s">
        <v>70</v>
      </c>
      <c r="C4" s="4"/>
      <c r="D4" s="1" t="e">
        <f t="shared" ref="D4:D14" si="2">C4/SUM($C$3:$C$14)</f>
        <v>#DIV/0!</v>
      </c>
      <c r="F4" s="4"/>
      <c r="G4" s="4"/>
      <c r="H4" s="4"/>
      <c r="J4" s="4"/>
      <c r="K4" s="4"/>
      <c r="L4" s="4"/>
      <c r="M4" s="4"/>
      <c r="N4" s="4"/>
      <c r="O4" s="4"/>
      <c r="P4" s="4"/>
      <c r="Q4">
        <v>0</v>
      </c>
      <c r="R4" s="4">
        <f t="shared" si="0"/>
        <v>0</v>
      </c>
      <c r="S4" t="e">
        <f t="shared" si="1"/>
        <v>#DIV/0!</v>
      </c>
    </row>
    <row r="5" spans="2:19" x14ac:dyDescent="0.3">
      <c r="B5" t="s">
        <v>71</v>
      </c>
      <c r="C5" s="4"/>
      <c r="D5" s="1" t="e">
        <f t="shared" si="2"/>
        <v>#DIV/0!</v>
      </c>
      <c r="F5" s="4"/>
      <c r="G5" s="4"/>
      <c r="H5" s="4"/>
      <c r="J5" s="4"/>
      <c r="K5" s="4"/>
      <c r="L5" s="4"/>
      <c r="M5" s="4"/>
      <c r="N5" s="4"/>
      <c r="O5" s="4"/>
      <c r="P5" s="4"/>
      <c r="Q5">
        <v>0</v>
      </c>
      <c r="R5" s="4">
        <f t="shared" si="0"/>
        <v>0</v>
      </c>
      <c r="S5" t="e">
        <f t="shared" si="1"/>
        <v>#DIV/0!</v>
      </c>
    </row>
    <row r="6" spans="2:19" x14ac:dyDescent="0.3">
      <c r="B6" t="s">
        <v>72</v>
      </c>
      <c r="C6" s="4"/>
      <c r="D6" s="1" t="e">
        <f t="shared" si="2"/>
        <v>#DIV/0!</v>
      </c>
      <c r="F6" s="4"/>
      <c r="G6" s="4"/>
      <c r="H6" s="4"/>
      <c r="J6" s="4"/>
      <c r="K6" s="4"/>
      <c r="L6" s="4"/>
      <c r="M6" s="4"/>
      <c r="N6" s="4"/>
      <c r="O6" s="4"/>
      <c r="P6" s="4"/>
      <c r="Q6">
        <v>0</v>
      </c>
      <c r="R6" s="4">
        <f t="shared" si="0"/>
        <v>0</v>
      </c>
      <c r="S6" t="e">
        <f t="shared" si="1"/>
        <v>#DIV/0!</v>
      </c>
    </row>
    <row r="7" spans="2:19" x14ac:dyDescent="0.3">
      <c r="B7" t="s">
        <v>73</v>
      </c>
      <c r="C7" s="56"/>
      <c r="D7" s="1" t="e">
        <f t="shared" si="2"/>
        <v>#DIV/0!</v>
      </c>
      <c r="F7" s="4"/>
      <c r="G7" s="4"/>
      <c r="H7" s="4"/>
      <c r="J7" s="4"/>
      <c r="K7" s="4"/>
      <c r="L7" s="4"/>
      <c r="M7" s="4"/>
      <c r="N7" s="4"/>
      <c r="O7" s="4"/>
      <c r="P7" s="4"/>
      <c r="Q7">
        <v>0</v>
      </c>
      <c r="R7" s="4">
        <f t="shared" si="0"/>
        <v>0</v>
      </c>
      <c r="S7" t="e">
        <f t="shared" si="1"/>
        <v>#DIV/0!</v>
      </c>
    </row>
    <row r="8" spans="2:19" x14ac:dyDescent="0.3">
      <c r="B8" t="s">
        <v>74</v>
      </c>
      <c r="C8" s="56"/>
      <c r="D8" s="1" t="e">
        <f t="shared" si="2"/>
        <v>#DIV/0!</v>
      </c>
      <c r="F8" s="4"/>
      <c r="G8" s="4"/>
      <c r="H8" s="4"/>
      <c r="J8" s="4"/>
      <c r="K8" s="4"/>
      <c r="L8" s="4"/>
      <c r="M8" s="4"/>
      <c r="N8" s="4"/>
      <c r="O8" s="4"/>
      <c r="P8" s="4"/>
      <c r="Q8">
        <v>0</v>
      </c>
      <c r="R8" s="4">
        <f t="shared" si="0"/>
        <v>0</v>
      </c>
      <c r="S8" t="e">
        <f t="shared" si="1"/>
        <v>#DIV/0!</v>
      </c>
    </row>
    <row r="9" spans="2:19" x14ac:dyDescent="0.3">
      <c r="B9" t="s">
        <v>75</v>
      </c>
      <c r="C9" s="56"/>
      <c r="D9" s="1" t="e">
        <f t="shared" si="2"/>
        <v>#DIV/0!</v>
      </c>
      <c r="F9" s="4"/>
      <c r="G9" s="4"/>
      <c r="H9" s="4"/>
      <c r="J9" s="4"/>
      <c r="K9" s="4"/>
      <c r="L9" s="4"/>
      <c r="M9" s="4"/>
      <c r="N9" s="4"/>
      <c r="O9" s="4"/>
      <c r="P9" s="4"/>
      <c r="Q9">
        <v>0</v>
      </c>
      <c r="R9" s="4">
        <f t="shared" si="0"/>
        <v>0</v>
      </c>
      <c r="S9" t="e">
        <f t="shared" si="1"/>
        <v>#DIV/0!</v>
      </c>
    </row>
    <row r="10" spans="2:19" x14ac:dyDescent="0.3">
      <c r="B10" t="s">
        <v>76</v>
      </c>
      <c r="C10" s="56"/>
      <c r="D10" s="1" t="e">
        <f t="shared" si="2"/>
        <v>#DIV/0!</v>
      </c>
      <c r="F10" s="4"/>
      <c r="G10" s="4"/>
      <c r="H10" s="4"/>
      <c r="J10" s="4"/>
      <c r="K10" s="4"/>
      <c r="L10" s="4"/>
      <c r="M10" s="4"/>
      <c r="N10" s="4"/>
      <c r="O10" s="4"/>
      <c r="P10" s="4"/>
      <c r="Q10">
        <v>0</v>
      </c>
      <c r="R10" s="4">
        <f t="shared" si="0"/>
        <v>0</v>
      </c>
      <c r="S10" t="e">
        <f t="shared" si="1"/>
        <v>#DIV/0!</v>
      </c>
    </row>
    <row r="11" spans="2:19" x14ac:dyDescent="0.3">
      <c r="B11" t="s">
        <v>77</v>
      </c>
      <c r="C11" s="56"/>
      <c r="D11" s="1" t="e">
        <f t="shared" si="2"/>
        <v>#DIV/0!</v>
      </c>
      <c r="F11" s="4"/>
      <c r="G11" s="4"/>
      <c r="H11" s="4"/>
      <c r="J11" s="4"/>
      <c r="K11" s="4"/>
      <c r="L11" s="4"/>
      <c r="M11" s="4"/>
      <c r="N11" s="4"/>
      <c r="O11" s="4"/>
      <c r="P11" s="4"/>
      <c r="Q11">
        <v>0</v>
      </c>
      <c r="R11" s="4">
        <f t="shared" si="0"/>
        <v>0</v>
      </c>
      <c r="S11" t="e">
        <f t="shared" si="1"/>
        <v>#DIV/0!</v>
      </c>
    </row>
    <row r="12" spans="2:19" x14ac:dyDescent="0.3">
      <c r="B12" t="s">
        <v>78</v>
      </c>
      <c r="C12" s="56"/>
      <c r="D12" s="1" t="e">
        <f t="shared" si="2"/>
        <v>#DIV/0!</v>
      </c>
      <c r="F12" s="4"/>
      <c r="G12" s="4"/>
      <c r="H12" s="4"/>
      <c r="J12" s="4"/>
      <c r="K12" s="4"/>
      <c r="L12" s="4"/>
      <c r="M12" s="4"/>
      <c r="N12" s="4"/>
      <c r="O12" s="4"/>
      <c r="P12" s="4"/>
      <c r="Q12">
        <v>0</v>
      </c>
      <c r="R12" s="4">
        <f t="shared" si="0"/>
        <v>0</v>
      </c>
      <c r="S12" t="e">
        <f t="shared" si="1"/>
        <v>#DIV/0!</v>
      </c>
    </row>
    <row r="13" spans="2:19" x14ac:dyDescent="0.3">
      <c r="B13" t="s">
        <v>79</v>
      </c>
      <c r="C13" s="56"/>
      <c r="D13" s="1" t="e">
        <f t="shared" si="2"/>
        <v>#DIV/0!</v>
      </c>
      <c r="F13" s="4"/>
      <c r="G13" s="4"/>
      <c r="H13" s="4"/>
      <c r="J13" s="4"/>
      <c r="K13" s="4"/>
      <c r="L13" s="4"/>
      <c r="M13" s="4"/>
      <c r="N13" s="4"/>
      <c r="O13" s="4"/>
      <c r="P13" s="4"/>
      <c r="Q13">
        <v>0</v>
      </c>
      <c r="R13" s="4">
        <f t="shared" si="0"/>
        <v>0</v>
      </c>
      <c r="S13" t="e">
        <f t="shared" si="1"/>
        <v>#DIV/0!</v>
      </c>
    </row>
    <row r="14" spans="2:19" x14ac:dyDescent="0.3">
      <c r="B14" t="s">
        <v>80</v>
      </c>
      <c r="C14" s="56"/>
      <c r="D14" s="1" t="e">
        <f t="shared" si="2"/>
        <v>#DIV/0!</v>
      </c>
      <c r="F14" s="4"/>
      <c r="G14" s="4"/>
      <c r="H14" s="4"/>
      <c r="J14" s="4"/>
      <c r="K14" s="4"/>
      <c r="L14" s="4"/>
      <c r="M14" s="4"/>
      <c r="N14" s="4"/>
      <c r="O14" s="4"/>
      <c r="P14" s="4"/>
      <c r="Q14">
        <v>0</v>
      </c>
      <c r="R14" s="4">
        <f t="shared" si="0"/>
        <v>0</v>
      </c>
      <c r="S14" t="e">
        <f t="shared" si="1"/>
        <v>#DIV/0!</v>
      </c>
    </row>
    <row r="15" spans="2:19" x14ac:dyDescent="0.3">
      <c r="D15" s="1"/>
    </row>
    <row r="16" spans="2:19" ht="15" thickBot="1" x14ac:dyDescent="0.35">
      <c r="D16" s="1"/>
    </row>
    <row r="17" spans="2:19" ht="15.6" thickTop="1" thickBot="1" x14ac:dyDescent="0.35">
      <c r="D17" s="1"/>
      <c r="M17" t="s">
        <v>95</v>
      </c>
      <c r="Q17" t="s">
        <v>276</v>
      </c>
      <c r="S17" s="51" t="e">
        <f>SUM(S3:S14)</f>
        <v>#DIV/0!</v>
      </c>
    </row>
    <row r="18" spans="2:19" ht="15" thickTop="1" x14ac:dyDescent="0.3"/>
    <row r="20" spans="2:19" x14ac:dyDescent="0.3">
      <c r="B20" s="4" t="s">
        <v>116</v>
      </c>
      <c r="C20" s="4"/>
      <c r="D20" s="4"/>
    </row>
    <row r="21" spans="2:19" x14ac:dyDescent="0.3">
      <c r="B21" t="s">
        <v>274</v>
      </c>
    </row>
    <row r="22" spans="2:19" x14ac:dyDescent="0.3">
      <c r="B22"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EF6D-F8CF-4A15-B40D-6107500AF37A}">
  <dimension ref="A1:AI83"/>
  <sheetViews>
    <sheetView workbookViewId="0">
      <selection activeCell="F4" sqref="F4"/>
    </sheetView>
  </sheetViews>
  <sheetFormatPr defaultRowHeight="14.4" x14ac:dyDescent="0.3"/>
  <cols>
    <col min="1" max="1" width="39.44140625" customWidth="1"/>
    <col min="2" max="2" width="14.6640625" customWidth="1"/>
    <col min="3" max="3" width="21.5546875" customWidth="1"/>
    <col min="4" max="4" width="14.6640625" customWidth="1"/>
    <col min="5" max="5" width="9" bestFit="1" customWidth="1"/>
    <col min="6" max="6" width="9.6640625" bestFit="1" customWidth="1"/>
    <col min="7" max="34" width="9" bestFit="1" customWidth="1"/>
  </cols>
  <sheetData>
    <row r="1" spans="1:34" x14ac:dyDescent="0.3">
      <c r="A1" t="s">
        <v>273</v>
      </c>
      <c r="E1" s="21" t="s">
        <v>238</v>
      </c>
      <c r="F1" s="112">
        <f>B62</f>
        <v>0.65059558706409959</v>
      </c>
      <c r="G1" s="21" t="s">
        <v>239</v>
      </c>
      <c r="H1" s="112">
        <f>B63</f>
        <v>0.65059742088491679</v>
      </c>
      <c r="I1" t="s">
        <v>240</v>
      </c>
      <c r="J1" s="113">
        <f>MIN(F68:AH68)</f>
        <v>1.4400756456066053</v>
      </c>
      <c r="K1" t="s">
        <v>241</v>
      </c>
      <c r="L1" s="8">
        <f>B60</f>
        <v>1305.9499325509973</v>
      </c>
      <c r="M1" t="s">
        <v>242</v>
      </c>
      <c r="N1" s="8">
        <f>B61</f>
        <v>1331.338679692135</v>
      </c>
    </row>
    <row r="4" spans="1:34" x14ac:dyDescent="0.3">
      <c r="A4" t="s">
        <v>174</v>
      </c>
      <c r="B4" s="8">
        <f>F4</f>
        <v>2000</v>
      </c>
      <c r="C4" t="s">
        <v>144</v>
      </c>
      <c r="F4" s="91">
        <v>2000</v>
      </c>
      <c r="S4" s="4">
        <v>-400</v>
      </c>
    </row>
    <row r="5" spans="1:34" x14ac:dyDescent="0.3">
      <c r="A5" t="s">
        <v>148</v>
      </c>
      <c r="B5" s="91">
        <v>2000</v>
      </c>
      <c r="C5" t="s">
        <v>144</v>
      </c>
    </row>
    <row r="6" spans="1:34" x14ac:dyDescent="0.3">
      <c r="A6" t="s">
        <v>149</v>
      </c>
      <c r="B6" s="91">
        <v>4000</v>
      </c>
      <c r="C6" t="s">
        <v>150</v>
      </c>
    </row>
    <row r="7" spans="1:34" x14ac:dyDescent="0.3">
      <c r="A7" t="s">
        <v>151</v>
      </c>
      <c r="B7" s="4">
        <v>5</v>
      </c>
    </row>
    <row r="8" spans="1:34" x14ac:dyDescent="0.3">
      <c r="A8" t="s">
        <v>243</v>
      </c>
      <c r="B8" s="114">
        <f>B6*B7/1000</f>
        <v>20</v>
      </c>
      <c r="C8" t="s">
        <v>144</v>
      </c>
    </row>
    <row r="9" spans="1:34" x14ac:dyDescent="0.3">
      <c r="A9" t="s">
        <v>244</v>
      </c>
      <c r="B9" s="7">
        <v>0.5</v>
      </c>
    </row>
    <row r="10" spans="1:34" x14ac:dyDescent="0.3">
      <c r="A10" t="s">
        <v>245</v>
      </c>
      <c r="B10" s="7">
        <v>0.1</v>
      </c>
    </row>
    <row r="11" spans="1:34" x14ac:dyDescent="0.3">
      <c r="A11" t="s">
        <v>246</v>
      </c>
      <c r="B11" s="4">
        <v>25</v>
      </c>
      <c r="C11" t="s">
        <v>247</v>
      </c>
    </row>
    <row r="12" spans="1:34" x14ac:dyDescent="0.3">
      <c r="A12" t="s">
        <v>248</v>
      </c>
      <c r="B12" s="115">
        <v>10</v>
      </c>
      <c r="C12" t="s">
        <v>190</v>
      </c>
    </row>
    <row r="13" spans="1:34" x14ac:dyDescent="0.3">
      <c r="A13" t="s">
        <v>249</v>
      </c>
      <c r="B13" s="115">
        <v>25</v>
      </c>
      <c r="C13" t="s">
        <v>190</v>
      </c>
    </row>
    <row r="14" spans="1:34" x14ac:dyDescent="0.3">
      <c r="A14" t="s">
        <v>250</v>
      </c>
      <c r="B14" s="115">
        <v>100</v>
      </c>
      <c r="C14" t="s">
        <v>190</v>
      </c>
    </row>
    <row r="16" spans="1:34" x14ac:dyDescent="0.3">
      <c r="A16" s="21" t="s">
        <v>155</v>
      </c>
      <c r="E16" s="116">
        <v>1</v>
      </c>
      <c r="F16" s="116">
        <f>E16+1</f>
        <v>2</v>
      </c>
      <c r="G16" s="116">
        <f t="shared" ref="G16:AH17" si="0">F16+1</f>
        <v>3</v>
      </c>
      <c r="H16" s="116">
        <f t="shared" si="0"/>
        <v>4</v>
      </c>
      <c r="I16" s="116">
        <f t="shared" si="0"/>
        <v>5</v>
      </c>
      <c r="J16" s="116">
        <f t="shared" si="0"/>
        <v>6</v>
      </c>
      <c r="K16" s="116">
        <f t="shared" si="0"/>
        <v>7</v>
      </c>
      <c r="L16" s="116">
        <f t="shared" si="0"/>
        <v>8</v>
      </c>
      <c r="M16" s="116">
        <f t="shared" si="0"/>
        <v>9</v>
      </c>
      <c r="N16" s="116">
        <f t="shared" si="0"/>
        <v>10</v>
      </c>
      <c r="O16" s="116">
        <f t="shared" si="0"/>
        <v>11</v>
      </c>
      <c r="P16" s="116">
        <f t="shared" si="0"/>
        <v>12</v>
      </c>
      <c r="Q16" s="116">
        <f t="shared" si="0"/>
        <v>13</v>
      </c>
      <c r="R16" s="116">
        <f t="shared" si="0"/>
        <v>14</v>
      </c>
      <c r="S16" s="116">
        <f t="shared" si="0"/>
        <v>15</v>
      </c>
      <c r="T16" s="116">
        <f t="shared" si="0"/>
        <v>16</v>
      </c>
      <c r="U16" s="116">
        <f t="shared" si="0"/>
        <v>17</v>
      </c>
      <c r="V16" s="116">
        <f t="shared" si="0"/>
        <v>18</v>
      </c>
      <c r="W16" s="116">
        <f t="shared" si="0"/>
        <v>19</v>
      </c>
      <c r="X16" s="116">
        <f t="shared" si="0"/>
        <v>20</v>
      </c>
      <c r="Y16" s="116">
        <f t="shared" si="0"/>
        <v>21</v>
      </c>
      <c r="Z16" s="116">
        <f t="shared" si="0"/>
        <v>22</v>
      </c>
      <c r="AA16" s="116">
        <f t="shared" si="0"/>
        <v>23</v>
      </c>
      <c r="AB16" s="116">
        <f t="shared" si="0"/>
        <v>24</v>
      </c>
      <c r="AC16" s="116">
        <f t="shared" si="0"/>
        <v>25</v>
      </c>
      <c r="AD16" s="116">
        <f t="shared" si="0"/>
        <v>26</v>
      </c>
      <c r="AE16" s="116">
        <f t="shared" si="0"/>
        <v>27</v>
      </c>
      <c r="AF16" s="116">
        <f t="shared" si="0"/>
        <v>28</v>
      </c>
      <c r="AG16" s="116">
        <f t="shared" si="0"/>
        <v>29</v>
      </c>
      <c r="AH16" s="116">
        <f t="shared" si="0"/>
        <v>30</v>
      </c>
    </row>
    <row r="17" spans="1:34" x14ac:dyDescent="0.3">
      <c r="A17" t="s">
        <v>152</v>
      </c>
      <c r="B17" s="4">
        <v>1551</v>
      </c>
      <c r="C17" t="s">
        <v>153</v>
      </c>
      <c r="E17">
        <v>2026</v>
      </c>
      <c r="F17">
        <f>E17+1</f>
        <v>2027</v>
      </c>
      <c r="G17">
        <f t="shared" si="0"/>
        <v>2028</v>
      </c>
      <c r="H17">
        <f t="shared" si="0"/>
        <v>2029</v>
      </c>
      <c r="I17">
        <f t="shared" si="0"/>
        <v>2030</v>
      </c>
      <c r="J17">
        <f t="shared" si="0"/>
        <v>2031</v>
      </c>
      <c r="K17">
        <f t="shared" si="0"/>
        <v>2032</v>
      </c>
      <c r="L17">
        <f t="shared" si="0"/>
        <v>2033</v>
      </c>
      <c r="M17">
        <f t="shared" si="0"/>
        <v>2034</v>
      </c>
      <c r="N17">
        <f t="shared" si="0"/>
        <v>2035</v>
      </c>
      <c r="O17">
        <f t="shared" si="0"/>
        <v>2036</v>
      </c>
      <c r="P17">
        <f t="shared" si="0"/>
        <v>2037</v>
      </c>
      <c r="Q17">
        <f t="shared" si="0"/>
        <v>2038</v>
      </c>
      <c r="R17">
        <f t="shared" si="0"/>
        <v>2039</v>
      </c>
      <c r="S17">
        <f t="shared" si="0"/>
        <v>2040</v>
      </c>
      <c r="T17">
        <f t="shared" si="0"/>
        <v>2041</v>
      </c>
      <c r="U17">
        <f t="shared" si="0"/>
        <v>2042</v>
      </c>
      <c r="V17">
        <f t="shared" si="0"/>
        <v>2043</v>
      </c>
      <c r="W17">
        <f t="shared" si="0"/>
        <v>2044</v>
      </c>
      <c r="X17">
        <f t="shared" si="0"/>
        <v>2045</v>
      </c>
      <c r="Y17">
        <f t="shared" si="0"/>
        <v>2046</v>
      </c>
      <c r="Z17">
        <f t="shared" si="0"/>
        <v>2047</v>
      </c>
      <c r="AA17">
        <f t="shared" si="0"/>
        <v>2048</v>
      </c>
      <c r="AB17">
        <f t="shared" si="0"/>
        <v>2049</v>
      </c>
      <c r="AC17">
        <f t="shared" si="0"/>
        <v>2050</v>
      </c>
      <c r="AD17">
        <f t="shared" si="0"/>
        <v>2051</v>
      </c>
      <c r="AE17">
        <f t="shared" si="0"/>
        <v>2052</v>
      </c>
      <c r="AF17">
        <f t="shared" si="0"/>
        <v>2053</v>
      </c>
      <c r="AG17">
        <f t="shared" si="0"/>
        <v>2054</v>
      </c>
      <c r="AH17">
        <f t="shared" si="0"/>
        <v>2055</v>
      </c>
    </row>
    <row r="18" spans="1:34" x14ac:dyDescent="0.3">
      <c r="A18" t="s">
        <v>154</v>
      </c>
      <c r="E18" s="117">
        <v>45</v>
      </c>
      <c r="F18" s="117">
        <v>35</v>
      </c>
      <c r="G18" s="117">
        <v>25</v>
      </c>
      <c r="H18" s="117">
        <v>22.5</v>
      </c>
      <c r="I18" s="117">
        <v>22.5</v>
      </c>
      <c r="J18" s="117">
        <v>22.5</v>
      </c>
      <c r="K18" s="117">
        <v>22.5</v>
      </c>
      <c r="L18" s="117">
        <v>22.5</v>
      </c>
      <c r="M18" s="117">
        <v>22.5</v>
      </c>
      <c r="N18" s="117">
        <v>22.5</v>
      </c>
      <c r="O18" s="117">
        <v>22.5</v>
      </c>
      <c r="P18" s="117">
        <v>22.5</v>
      </c>
      <c r="Q18" s="117">
        <v>22.5</v>
      </c>
      <c r="R18" s="117">
        <v>22.5</v>
      </c>
      <c r="S18" s="117">
        <v>22.5</v>
      </c>
      <c r="T18" s="117">
        <v>22.5</v>
      </c>
      <c r="U18" s="117">
        <v>22.5</v>
      </c>
      <c r="V18" s="117">
        <v>22.5</v>
      </c>
      <c r="W18" s="117">
        <v>22.5</v>
      </c>
      <c r="X18" s="117">
        <v>22.5</v>
      </c>
      <c r="Y18" s="117">
        <v>22.5</v>
      </c>
      <c r="Z18" s="117">
        <v>22.5</v>
      </c>
      <c r="AA18" s="117">
        <v>22.5</v>
      </c>
      <c r="AB18" s="117">
        <v>22.5</v>
      </c>
      <c r="AC18" s="117">
        <v>22.5</v>
      </c>
      <c r="AD18" s="117">
        <v>22.5</v>
      </c>
      <c r="AE18" s="117">
        <v>22.5</v>
      </c>
      <c r="AF18" s="117">
        <v>22.5</v>
      </c>
      <c r="AG18" s="117">
        <v>22.5</v>
      </c>
      <c r="AH18" s="117">
        <v>23.5</v>
      </c>
    </row>
    <row r="19" spans="1:34" x14ac:dyDescent="0.3">
      <c r="A19" t="s">
        <v>156</v>
      </c>
      <c r="E19" s="86">
        <v>0.02</v>
      </c>
      <c r="F19" s="118">
        <v>5.0000000000000001E-3</v>
      </c>
      <c r="G19" s="118">
        <v>5.0000000000000001E-3</v>
      </c>
      <c r="H19" s="118">
        <v>5.0000000000000001E-3</v>
      </c>
      <c r="I19" s="118">
        <v>5.0000000000000001E-3</v>
      </c>
      <c r="J19" s="118">
        <v>5.0000000000000001E-3</v>
      </c>
      <c r="K19" s="118">
        <v>5.0000000000000001E-3</v>
      </c>
      <c r="L19" s="118">
        <v>5.0000000000000001E-3</v>
      </c>
      <c r="M19" s="118">
        <v>5.0000000000000001E-3</v>
      </c>
      <c r="N19" s="118">
        <v>5.0000000000000001E-3</v>
      </c>
      <c r="O19" s="118">
        <v>5.0000000000000001E-3</v>
      </c>
      <c r="P19" s="118">
        <v>5.0000000000000001E-3</v>
      </c>
      <c r="Q19" s="118">
        <v>5.0000000000000001E-3</v>
      </c>
      <c r="R19" s="118">
        <v>5.0000000000000001E-3</v>
      </c>
      <c r="S19" s="118">
        <v>5.0000000000000001E-3</v>
      </c>
      <c r="T19" s="118">
        <v>5.0000000000000001E-3</v>
      </c>
      <c r="U19" s="118">
        <v>5.0000000000000001E-3</v>
      </c>
      <c r="V19" s="118">
        <v>5.0000000000000001E-3</v>
      </c>
      <c r="W19" s="118">
        <v>5.0000000000000001E-3</v>
      </c>
      <c r="X19" s="118">
        <v>5.0000000000000001E-3</v>
      </c>
      <c r="Y19" s="118">
        <v>5.0000000000000001E-3</v>
      </c>
      <c r="Z19" s="118">
        <v>5.0000000000000001E-3</v>
      </c>
      <c r="AA19" s="118">
        <v>5.0000000000000001E-3</v>
      </c>
      <c r="AB19" s="118">
        <v>5.0000000000000001E-3</v>
      </c>
      <c r="AC19" s="118">
        <v>5.0000000000000001E-3</v>
      </c>
      <c r="AD19" s="118">
        <v>5.0000000000000001E-3</v>
      </c>
      <c r="AE19" s="118">
        <v>5.0000000000000001E-3</v>
      </c>
      <c r="AF19" s="118">
        <v>5.0000000000000001E-3</v>
      </c>
      <c r="AG19" s="118">
        <v>5.0000000000000001E-3</v>
      </c>
      <c r="AH19" s="118">
        <v>5.0000000000000001E-3</v>
      </c>
    </row>
    <row r="20" spans="1:34" x14ac:dyDescent="0.3">
      <c r="A20" t="s">
        <v>157</v>
      </c>
      <c r="E20" s="1">
        <f>100%-SUM($E$19:E19)</f>
        <v>0.98</v>
      </c>
      <c r="F20" s="1">
        <f>100%-SUM($E$19:F19)</f>
        <v>0.97499999999999998</v>
      </c>
      <c r="G20" s="1">
        <f>100%-SUM($E$19:G19)</f>
        <v>0.97</v>
      </c>
      <c r="H20" s="1">
        <f>100%-SUM($E$19:H19)</f>
        <v>0.96499999999999997</v>
      </c>
      <c r="I20" s="1">
        <f>100%-SUM($E$19:I19)</f>
        <v>0.96</v>
      </c>
      <c r="J20" s="1">
        <f>100%-SUM($E$19:J19)</f>
        <v>0.95499999999999996</v>
      </c>
      <c r="K20" s="1">
        <f>100%-SUM($E$19:K19)</f>
        <v>0.95</v>
      </c>
      <c r="L20" s="1">
        <f>100%-SUM($E$19:L19)</f>
        <v>0.94500000000000006</v>
      </c>
      <c r="M20" s="1">
        <f>100%-SUM($E$19:M19)</f>
        <v>0.94000000000000006</v>
      </c>
      <c r="N20" s="1">
        <f>100%-SUM($E$19:N19)</f>
        <v>0.93500000000000005</v>
      </c>
      <c r="O20" s="1">
        <f>100%-SUM($E$19:O19)</f>
        <v>0.93</v>
      </c>
      <c r="P20" s="1">
        <f>100%-SUM($E$19:P19)</f>
        <v>0.92500000000000004</v>
      </c>
      <c r="Q20" s="1">
        <f>100%-SUM($E$19:Q19)</f>
        <v>0.92</v>
      </c>
      <c r="R20" s="1">
        <f>100%-SUM($E$19:R19)</f>
        <v>0.91500000000000004</v>
      </c>
      <c r="S20" s="1">
        <f>100%-SUM($E$19:S19)</f>
        <v>0.91</v>
      </c>
      <c r="T20" s="1">
        <f>100%-SUM($E$19:T19)</f>
        <v>0.90500000000000003</v>
      </c>
      <c r="U20" s="1">
        <f>100%-SUM($E$19:U19)</f>
        <v>0.9</v>
      </c>
      <c r="V20" s="1">
        <f>100%-SUM($E$19:V19)</f>
        <v>0.89500000000000002</v>
      </c>
      <c r="W20" s="1">
        <f>100%-SUM($E$19:W19)</f>
        <v>0.89</v>
      </c>
      <c r="X20" s="1">
        <f>100%-SUM($E$19:X19)</f>
        <v>0.88500000000000001</v>
      </c>
      <c r="Y20" s="1">
        <f>100%-SUM($E$19:Y19)</f>
        <v>0.88</v>
      </c>
      <c r="Z20" s="1">
        <f>100%-SUM($E$19:Z19)</f>
        <v>0.875</v>
      </c>
      <c r="AA20" s="1">
        <f>100%-SUM($E$19:AA19)</f>
        <v>0.87</v>
      </c>
      <c r="AB20" s="1">
        <f>100%-SUM($E$19:AB19)</f>
        <v>0.86499999999999999</v>
      </c>
      <c r="AC20" s="1">
        <f>100%-SUM($E$19:AC19)</f>
        <v>0.86</v>
      </c>
      <c r="AD20" s="1">
        <f>100%-SUM($E$19:AD19)</f>
        <v>0.85499999999999998</v>
      </c>
      <c r="AE20" s="1">
        <f>100%-SUM($E$19:AE19)</f>
        <v>0.85</v>
      </c>
      <c r="AF20" s="1">
        <f>100%-SUM($E$19:AF19)</f>
        <v>0.84499999999999997</v>
      </c>
      <c r="AG20" s="1">
        <f>100%-SUM($E$19:AG19)</f>
        <v>0.84</v>
      </c>
      <c r="AH20" s="1">
        <f>100%-SUM($E$19:AH19)</f>
        <v>0.83499999999999996</v>
      </c>
    </row>
    <row r="21" spans="1:34" s="93" customFormat="1" x14ac:dyDescent="0.3">
      <c r="A21" s="93" t="s">
        <v>158</v>
      </c>
      <c r="E21" s="93">
        <f>$B$17*E20</f>
        <v>1519.98</v>
      </c>
      <c r="F21" s="93">
        <f t="shared" ref="F21:AH21" si="1">$B$17*F20</f>
        <v>1512.2249999999999</v>
      </c>
      <c r="G21" s="93">
        <f t="shared" si="1"/>
        <v>1504.47</v>
      </c>
      <c r="H21" s="93">
        <f t="shared" si="1"/>
        <v>1496.7149999999999</v>
      </c>
      <c r="I21" s="93">
        <f t="shared" si="1"/>
        <v>1488.96</v>
      </c>
      <c r="J21" s="93">
        <f t="shared" si="1"/>
        <v>1481.2049999999999</v>
      </c>
      <c r="K21" s="93">
        <f t="shared" si="1"/>
        <v>1473.4499999999998</v>
      </c>
      <c r="L21" s="93">
        <f t="shared" si="1"/>
        <v>1465.6950000000002</v>
      </c>
      <c r="M21" s="93">
        <f t="shared" si="1"/>
        <v>1457.94</v>
      </c>
      <c r="N21" s="93">
        <f t="shared" si="1"/>
        <v>1450.1850000000002</v>
      </c>
      <c r="O21" s="93">
        <f t="shared" si="1"/>
        <v>1442.43</v>
      </c>
      <c r="P21" s="93">
        <f t="shared" si="1"/>
        <v>1434.6750000000002</v>
      </c>
      <c r="Q21" s="93">
        <f t="shared" si="1"/>
        <v>1426.92</v>
      </c>
      <c r="R21" s="93">
        <f t="shared" si="1"/>
        <v>1419.165</v>
      </c>
      <c r="S21" s="93">
        <f t="shared" si="1"/>
        <v>1411.41</v>
      </c>
      <c r="T21" s="93">
        <f t="shared" si="1"/>
        <v>1403.655</v>
      </c>
      <c r="U21" s="93">
        <f t="shared" si="1"/>
        <v>1395.9</v>
      </c>
      <c r="V21" s="93">
        <f t="shared" si="1"/>
        <v>1388.145</v>
      </c>
      <c r="W21" s="93">
        <f t="shared" si="1"/>
        <v>1380.39</v>
      </c>
      <c r="X21" s="93">
        <f t="shared" si="1"/>
        <v>1372.635</v>
      </c>
      <c r="Y21" s="93">
        <f t="shared" si="1"/>
        <v>1364.88</v>
      </c>
      <c r="Z21" s="93">
        <f t="shared" si="1"/>
        <v>1357.125</v>
      </c>
      <c r="AA21" s="93">
        <f t="shared" si="1"/>
        <v>1349.37</v>
      </c>
      <c r="AB21" s="93">
        <f t="shared" si="1"/>
        <v>1341.615</v>
      </c>
      <c r="AC21" s="93">
        <f t="shared" si="1"/>
        <v>1333.86</v>
      </c>
      <c r="AD21" s="93">
        <f t="shared" si="1"/>
        <v>1326.105</v>
      </c>
      <c r="AE21" s="93">
        <f t="shared" si="1"/>
        <v>1318.35</v>
      </c>
      <c r="AF21" s="93">
        <f t="shared" si="1"/>
        <v>1310.595</v>
      </c>
      <c r="AG21" s="93">
        <f t="shared" si="1"/>
        <v>1302.8399999999999</v>
      </c>
      <c r="AH21" s="93">
        <f t="shared" si="1"/>
        <v>1295.085</v>
      </c>
    </row>
    <row r="22" spans="1:34" x14ac:dyDescent="0.3">
      <c r="A22" t="s">
        <v>251</v>
      </c>
      <c r="B22" s="7">
        <v>0.1</v>
      </c>
      <c r="E22" s="33">
        <f>(1-$B$22)*E18</f>
        <v>40.5</v>
      </c>
      <c r="F22" s="33">
        <f>(1-$B$22)*F18</f>
        <v>31.5</v>
      </c>
      <c r="G22" s="33">
        <f t="shared" ref="G22:AH22" si="2">(1-$B$22)*G18</f>
        <v>22.5</v>
      </c>
      <c r="H22" s="33">
        <f t="shared" si="2"/>
        <v>20.25</v>
      </c>
      <c r="I22" s="33">
        <f t="shared" si="2"/>
        <v>20.25</v>
      </c>
      <c r="J22" s="33">
        <f t="shared" si="2"/>
        <v>20.25</v>
      </c>
      <c r="K22" s="33">
        <f t="shared" si="2"/>
        <v>20.25</v>
      </c>
      <c r="L22" s="33">
        <f t="shared" si="2"/>
        <v>20.25</v>
      </c>
      <c r="M22" s="33">
        <f t="shared" si="2"/>
        <v>20.25</v>
      </c>
      <c r="N22" s="33">
        <f t="shared" si="2"/>
        <v>20.25</v>
      </c>
      <c r="O22" s="33">
        <f t="shared" si="2"/>
        <v>20.25</v>
      </c>
      <c r="P22" s="33">
        <f t="shared" si="2"/>
        <v>20.25</v>
      </c>
      <c r="Q22" s="33">
        <f t="shared" si="2"/>
        <v>20.25</v>
      </c>
      <c r="R22" s="33">
        <f t="shared" si="2"/>
        <v>20.25</v>
      </c>
      <c r="S22" s="33">
        <f t="shared" si="2"/>
        <v>20.25</v>
      </c>
      <c r="T22" s="33">
        <f t="shared" si="2"/>
        <v>20.25</v>
      </c>
      <c r="U22" s="33">
        <f t="shared" si="2"/>
        <v>20.25</v>
      </c>
      <c r="V22" s="33">
        <f t="shared" si="2"/>
        <v>20.25</v>
      </c>
      <c r="W22" s="33">
        <f t="shared" si="2"/>
        <v>20.25</v>
      </c>
      <c r="X22" s="33">
        <f t="shared" si="2"/>
        <v>20.25</v>
      </c>
      <c r="Y22" s="33">
        <f t="shared" si="2"/>
        <v>20.25</v>
      </c>
      <c r="Z22" s="33">
        <f t="shared" si="2"/>
        <v>20.25</v>
      </c>
      <c r="AA22" s="33">
        <f t="shared" si="2"/>
        <v>20.25</v>
      </c>
      <c r="AB22" s="33">
        <f t="shared" si="2"/>
        <v>20.25</v>
      </c>
      <c r="AC22" s="33">
        <f t="shared" si="2"/>
        <v>20.25</v>
      </c>
      <c r="AD22" s="33">
        <f t="shared" si="2"/>
        <v>20.25</v>
      </c>
      <c r="AE22" s="33">
        <f t="shared" si="2"/>
        <v>20.25</v>
      </c>
      <c r="AF22" s="33">
        <f t="shared" si="2"/>
        <v>20.25</v>
      </c>
      <c r="AG22" s="33">
        <f t="shared" si="2"/>
        <v>20.25</v>
      </c>
      <c r="AH22" s="33">
        <f t="shared" si="2"/>
        <v>21.150000000000002</v>
      </c>
    </row>
    <row r="23" spans="1:34" x14ac:dyDescent="0.3">
      <c r="A23" t="s">
        <v>159</v>
      </c>
      <c r="B23" s="7">
        <v>0.02</v>
      </c>
    </row>
    <row r="24" spans="1:34" s="94" customFormat="1" x14ac:dyDescent="0.3">
      <c r="A24" s="94" t="s">
        <v>160</v>
      </c>
      <c r="B24" s="95">
        <v>0.16</v>
      </c>
      <c r="C24" s="94" t="s">
        <v>52</v>
      </c>
      <c r="E24" s="94">
        <f>$B$24*(1+$B$23)^(E16-1)</f>
        <v>0.16</v>
      </c>
      <c r="F24" s="94">
        <f>$B$24*(1+$B$23)^(F16-1)</f>
        <v>0.16320000000000001</v>
      </c>
      <c r="G24" s="94">
        <f t="shared" ref="G24:AH24" si="3">$B$24*(1+$B$23)^(G16-1)</f>
        <v>0.166464</v>
      </c>
      <c r="H24" s="94">
        <f t="shared" si="3"/>
        <v>0.16979327999999999</v>
      </c>
      <c r="I24" s="94">
        <f t="shared" si="3"/>
        <v>0.17318914560000001</v>
      </c>
      <c r="J24" s="94">
        <f t="shared" si="3"/>
        <v>0.17665292851200001</v>
      </c>
      <c r="K24" s="94">
        <f t="shared" si="3"/>
        <v>0.18018598708224001</v>
      </c>
      <c r="L24" s="94">
        <f t="shared" si="3"/>
        <v>0.18378970682388476</v>
      </c>
      <c r="M24" s="94">
        <f t="shared" si="3"/>
        <v>0.18746550096036249</v>
      </c>
      <c r="N24" s="94">
        <f t="shared" si="3"/>
        <v>0.19121481097956974</v>
      </c>
      <c r="O24" s="94">
        <f t="shared" si="3"/>
        <v>0.19503910719916115</v>
      </c>
      <c r="P24" s="94">
        <f t="shared" si="3"/>
        <v>0.19893988934314433</v>
      </c>
      <c r="Q24" s="94">
        <f t="shared" si="3"/>
        <v>0.20291868713000724</v>
      </c>
      <c r="R24" s="94">
        <f t="shared" si="3"/>
        <v>0.20697706087260737</v>
      </c>
      <c r="S24" s="94">
        <f t="shared" si="3"/>
        <v>0.21111660209005956</v>
      </c>
      <c r="T24" s="94">
        <f t="shared" si="3"/>
        <v>0.21533893413186067</v>
      </c>
      <c r="U24" s="94">
        <f t="shared" si="3"/>
        <v>0.21964571281449793</v>
      </c>
      <c r="V24" s="94">
        <f t="shared" si="3"/>
        <v>0.22403862707078792</v>
      </c>
      <c r="W24" s="94">
        <f t="shared" si="3"/>
        <v>0.22851939961220363</v>
      </c>
      <c r="X24" s="94">
        <f t="shared" si="3"/>
        <v>0.23308978760444771</v>
      </c>
      <c r="Y24" s="94">
        <f t="shared" si="3"/>
        <v>0.23775158335653668</v>
      </c>
      <c r="Z24" s="94">
        <f t="shared" si="3"/>
        <v>0.24250661502366741</v>
      </c>
      <c r="AA24" s="94">
        <f t="shared" si="3"/>
        <v>0.24735674732414076</v>
      </c>
      <c r="AB24" s="94">
        <f t="shared" si="3"/>
        <v>0.2523038822706235</v>
      </c>
      <c r="AC24" s="94">
        <f t="shared" si="3"/>
        <v>0.25734995991603599</v>
      </c>
      <c r="AD24" s="94">
        <f t="shared" si="3"/>
        <v>0.26249695911435672</v>
      </c>
      <c r="AE24" s="94">
        <f t="shared" si="3"/>
        <v>0.26774689829664389</v>
      </c>
      <c r="AF24" s="94">
        <f t="shared" si="3"/>
        <v>0.27310183626257672</v>
      </c>
      <c r="AG24" s="94">
        <f t="shared" si="3"/>
        <v>0.27856387298782831</v>
      </c>
      <c r="AH24" s="94">
        <f t="shared" si="3"/>
        <v>0.28413515044758486</v>
      </c>
    </row>
    <row r="25" spans="1:34" s="94" customFormat="1" x14ac:dyDescent="0.3">
      <c r="A25" s="94" t="str">
        <f>"% of energy Level 1 Savings " &amp; B12 &amp; "%"</f>
        <v>% of energy Level 1 Savings 10%</v>
      </c>
      <c r="B25" s="7">
        <v>0</v>
      </c>
    </row>
    <row r="26" spans="1:34" s="94" customFormat="1" x14ac:dyDescent="0.3">
      <c r="A26" s="94" t="str">
        <f>"% of energy Level 2 Savings " &amp; B13 &amp; "%"</f>
        <v>% of energy Level 2 Savings 25%</v>
      </c>
      <c r="B26" s="7">
        <v>0.5</v>
      </c>
    </row>
    <row r="27" spans="1:34" s="94" customFormat="1" x14ac:dyDescent="0.3">
      <c r="A27" s="94" t="str">
        <f>"% of energy Level 3 Savings " &amp; B14 &amp; "%"</f>
        <v>% of energy Level 3 Savings 100%</v>
      </c>
      <c r="B27" s="7">
        <v>0.5</v>
      </c>
    </row>
    <row r="28" spans="1:34" s="94" customFormat="1" x14ac:dyDescent="0.3">
      <c r="A28" s="94" t="s">
        <v>252</v>
      </c>
      <c r="B28" s="96">
        <f>100%-B25-B26-B27</f>
        <v>0</v>
      </c>
      <c r="C28" s="94" t="str">
        <f>IF(B28&lt;&gt;0%, "error","")</f>
        <v/>
      </c>
    </row>
    <row r="29" spans="1:34" s="94" customFormat="1" x14ac:dyDescent="0.3">
      <c r="A29" s="94" t="s">
        <v>253</v>
      </c>
      <c r="B29" s="7">
        <v>0.1</v>
      </c>
    </row>
    <row r="30" spans="1:34" x14ac:dyDescent="0.3">
      <c r="A30" t="s">
        <v>162</v>
      </c>
      <c r="E30" s="33">
        <f>(E21*E24*(100-$B$12)*$B$25/100)+(E21*E24*(100-$B$13)*$B$26/100)+(E21*E24*(100-$B$14)*$B$27/100)</f>
        <v>91.198799999999991</v>
      </c>
      <c r="F30" s="33">
        <f t="shared" ref="F30:AH30" si="4">(F21*F24*(100-$B$12)*$B$25/100)+(F21*F24*(100-$B$13)*$B$26/100)+(F21*F24*(100-$B$14)*$B$27/100)</f>
        <v>92.548169999999985</v>
      </c>
      <c r="G30" s="33">
        <f t="shared" si="4"/>
        <v>93.915035279999998</v>
      </c>
      <c r="H30" s="33">
        <f t="shared" si="4"/>
        <v>95.299555903200002</v>
      </c>
      <c r="I30" s="33">
        <f t="shared" si="4"/>
        <v>96.701891337216026</v>
      </c>
      <c r="J30" s="33">
        <f t="shared" si="4"/>
        <v>98.122200366231354</v>
      </c>
      <c r="K30" s="33">
        <f t="shared" si="4"/>
        <v>99.560640999872447</v>
      </c>
      <c r="L30" s="33">
        <f t="shared" si="4"/>
        <v>101.01737037871267</v>
      </c>
      <c r="M30" s="33">
        <f>(M21*M24*(100-$B$12)*$B$25/100)+(M21*M24*(100-$B$13)*$B$26/100)+(M21*M24*(100-$B$14)*$B$27/100)</f>
        <v>102.49254467630657</v>
      </c>
      <c r="N30" s="33">
        <f t="shared" si="4"/>
        <v>103.98631899765276</v>
      </c>
      <c r="O30" s="33">
        <f t="shared" si="4"/>
        <v>105.49884727398226</v>
      </c>
      <c r="P30" s="33">
        <f t="shared" si="4"/>
        <v>107.03028215376585</v>
      </c>
      <c r="Q30" s="33">
        <f t="shared" si="4"/>
        <v>108.58077488983125</v>
      </c>
      <c r="R30" s="33">
        <f t="shared" si="4"/>
        <v>110.15047522247767</v>
      </c>
      <c r="S30" s="33">
        <f t="shared" si="4"/>
        <v>111.7395312584741</v>
      </c>
      <c r="T30" s="33">
        <f t="shared" si="4"/>
        <v>113.34808934582134</v>
      </c>
      <c r="U30" s="33">
        <f t="shared" si="4"/>
        <v>114.97629394415911</v>
      </c>
      <c r="V30" s="33">
        <f t="shared" si="4"/>
        <v>116.62428749069208</v>
      </c>
      <c r="W30" s="33">
        <f t="shared" si="4"/>
        <v>118.29221026150866</v>
      </c>
      <c r="X30" s="33">
        <f t="shared" si="4"/>
        <v>119.98020022816166</v>
      </c>
      <c r="Y30" s="33">
        <f t="shared" si="4"/>
        <v>121.68839290937618</v>
      </c>
      <c r="Z30" s="33">
        <f t="shared" si="4"/>
        <v>123.41692121774798</v>
      </c>
      <c r="AA30" s="33">
        <f t="shared" si="4"/>
        <v>125.16591530129091</v>
      </c>
      <c r="AB30" s="33">
        <f t="shared" si="4"/>
        <v>126.93550237968846</v>
      </c>
      <c r="AC30" s="33">
        <f t="shared" si="4"/>
        <v>128.72580657510139</v>
      </c>
      <c r="AD30" s="33">
        <f t="shared" si="4"/>
        <v>130.53694873737902</v>
      </c>
      <c r="AE30" s="33">
        <f t="shared" si="4"/>
        <v>132.36904626351767</v>
      </c>
      <c r="AF30" s="33">
        <f t="shared" si="4"/>
        <v>134.2222129112069</v>
      </c>
      <c r="AG30" s="33">
        <f t="shared" si="4"/>
        <v>136.09655860629834</v>
      </c>
      <c r="AH30" s="33">
        <f t="shared" si="4"/>
        <v>137.99218924402894</v>
      </c>
    </row>
    <row r="31" spans="1:34" x14ac:dyDescent="0.3">
      <c r="A31" t="s">
        <v>161</v>
      </c>
      <c r="E31" s="33">
        <f>E22*E21/1000</f>
        <v>61.559190000000001</v>
      </c>
      <c r="F31" s="33">
        <f t="shared" ref="F31:AH31" si="5">F22*F21/1000</f>
        <v>47.635087499999997</v>
      </c>
      <c r="G31" s="33">
        <f t="shared" si="5"/>
        <v>33.850574999999999</v>
      </c>
      <c r="H31" s="33">
        <f t="shared" si="5"/>
        <v>30.308478749999999</v>
      </c>
      <c r="I31" s="33">
        <f t="shared" si="5"/>
        <v>30.151440000000001</v>
      </c>
      <c r="J31" s="33">
        <f t="shared" si="5"/>
        <v>29.994401249999999</v>
      </c>
      <c r="K31" s="33">
        <f t="shared" si="5"/>
        <v>29.837362499999994</v>
      </c>
      <c r="L31" s="33">
        <f t="shared" si="5"/>
        <v>29.680323750000003</v>
      </c>
      <c r="M31" s="33">
        <f t="shared" si="5"/>
        <v>29.523285000000001</v>
      </c>
      <c r="N31" s="33">
        <f t="shared" si="5"/>
        <v>29.366246250000003</v>
      </c>
      <c r="O31" s="33">
        <f t="shared" si="5"/>
        <v>29.209207500000002</v>
      </c>
      <c r="P31" s="33">
        <f t="shared" si="5"/>
        <v>29.052168750000003</v>
      </c>
      <c r="Q31" s="33">
        <f t="shared" si="5"/>
        <v>28.895130000000002</v>
      </c>
      <c r="R31" s="33">
        <f t="shared" si="5"/>
        <v>28.738091249999997</v>
      </c>
      <c r="S31" s="33">
        <f t="shared" si="5"/>
        <v>28.581052500000002</v>
      </c>
      <c r="T31" s="33">
        <f t="shared" si="5"/>
        <v>28.424013749999997</v>
      </c>
      <c r="U31" s="33">
        <f t="shared" si="5"/>
        <v>28.266975000000002</v>
      </c>
      <c r="V31" s="33">
        <f t="shared" si="5"/>
        <v>28.109936250000001</v>
      </c>
      <c r="W31" s="33">
        <f t="shared" si="5"/>
        <v>27.952897500000002</v>
      </c>
      <c r="X31" s="33">
        <f t="shared" si="5"/>
        <v>27.795858750000001</v>
      </c>
      <c r="Y31" s="33">
        <f t="shared" si="5"/>
        <v>27.638820000000003</v>
      </c>
      <c r="Z31" s="33">
        <f t="shared" si="5"/>
        <v>27.481781250000001</v>
      </c>
      <c r="AA31" s="33">
        <f t="shared" si="5"/>
        <v>27.324742499999996</v>
      </c>
      <c r="AB31" s="33">
        <f t="shared" si="5"/>
        <v>27.167703750000001</v>
      </c>
      <c r="AC31" s="33">
        <f t="shared" si="5"/>
        <v>27.010664999999996</v>
      </c>
      <c r="AD31" s="33">
        <f t="shared" si="5"/>
        <v>26.853626250000001</v>
      </c>
      <c r="AE31" s="33">
        <f t="shared" si="5"/>
        <v>26.696587499999996</v>
      </c>
      <c r="AF31" s="33">
        <f t="shared" si="5"/>
        <v>26.539548750000002</v>
      </c>
      <c r="AG31" s="33">
        <f t="shared" si="5"/>
        <v>26.38251</v>
      </c>
      <c r="AH31" s="33">
        <f t="shared" si="5"/>
        <v>27.391047750000006</v>
      </c>
    </row>
    <row r="32" spans="1:34" x14ac:dyDescent="0.3">
      <c r="A32" s="119" t="s">
        <v>254</v>
      </c>
      <c r="B32" s="116"/>
      <c r="C32" s="116"/>
      <c r="D32" s="116"/>
      <c r="E32" s="120">
        <f>SUM(E30:E31)</f>
        <v>152.75799000000001</v>
      </c>
      <c r="F32" s="120">
        <f t="shared" ref="F32:AH32" si="6">SUM(F30:F31)</f>
        <v>140.18325749999997</v>
      </c>
      <c r="G32" s="120">
        <f t="shared" si="6"/>
        <v>127.76561028</v>
      </c>
      <c r="H32" s="120">
        <f t="shared" si="6"/>
        <v>125.60803465320001</v>
      </c>
      <c r="I32" s="120">
        <f t="shared" si="6"/>
        <v>126.85333133721602</v>
      </c>
      <c r="J32" s="120">
        <f t="shared" si="6"/>
        <v>128.11660161623135</v>
      </c>
      <c r="K32" s="120">
        <f t="shared" si="6"/>
        <v>129.39800349987243</v>
      </c>
      <c r="L32" s="120">
        <f t="shared" si="6"/>
        <v>130.69769412871267</v>
      </c>
      <c r="M32" s="120">
        <f t="shared" si="6"/>
        <v>132.01582967630657</v>
      </c>
      <c r="N32" s="120">
        <f t="shared" si="6"/>
        <v>133.35256524765276</v>
      </c>
      <c r="O32" s="120">
        <f t="shared" si="6"/>
        <v>134.70805477398227</v>
      </c>
      <c r="P32" s="120">
        <f t="shared" si="6"/>
        <v>136.08245090376585</v>
      </c>
      <c r="Q32" s="120">
        <f t="shared" si="6"/>
        <v>137.47590488983124</v>
      </c>
      <c r="R32" s="120">
        <f t="shared" si="6"/>
        <v>138.88856647247766</v>
      </c>
      <c r="S32" s="120">
        <f t="shared" si="6"/>
        <v>140.3205837584741</v>
      </c>
      <c r="T32" s="120">
        <f t="shared" si="6"/>
        <v>141.77210309582134</v>
      </c>
      <c r="U32" s="120">
        <f t="shared" si="6"/>
        <v>143.24326894415913</v>
      </c>
      <c r="V32" s="120">
        <f t="shared" si="6"/>
        <v>144.73422374069207</v>
      </c>
      <c r="W32" s="120">
        <f t="shared" si="6"/>
        <v>146.24510776150865</v>
      </c>
      <c r="X32" s="120">
        <f t="shared" si="6"/>
        <v>147.77605897816167</v>
      </c>
      <c r="Y32" s="120">
        <f t="shared" si="6"/>
        <v>149.32721290937619</v>
      </c>
      <c r="Z32" s="120">
        <f t="shared" si="6"/>
        <v>150.898702467748</v>
      </c>
      <c r="AA32" s="120">
        <f t="shared" si="6"/>
        <v>152.49065780129089</v>
      </c>
      <c r="AB32" s="120">
        <f t="shared" si="6"/>
        <v>154.10320612968846</v>
      </c>
      <c r="AC32" s="120">
        <f t="shared" si="6"/>
        <v>155.73647157510138</v>
      </c>
      <c r="AD32" s="120">
        <f t="shared" si="6"/>
        <v>157.39057498737901</v>
      </c>
      <c r="AE32" s="120">
        <f t="shared" si="6"/>
        <v>159.06563376351767</v>
      </c>
      <c r="AF32" s="120">
        <f t="shared" si="6"/>
        <v>160.76176166120689</v>
      </c>
      <c r="AG32" s="120">
        <f t="shared" si="6"/>
        <v>162.47906860629834</v>
      </c>
      <c r="AH32" s="120">
        <f t="shared" si="6"/>
        <v>165.38323699402895</v>
      </c>
    </row>
    <row r="34" spans="1:35" x14ac:dyDescent="0.3">
      <c r="A34" t="s">
        <v>164</v>
      </c>
      <c r="B34" s="92">
        <f>B5*C34</f>
        <v>0</v>
      </c>
      <c r="C34" s="7">
        <v>0</v>
      </c>
      <c r="F34" s="92">
        <f>B34</f>
        <v>0</v>
      </c>
    </row>
    <row r="35" spans="1:35" x14ac:dyDescent="0.3">
      <c r="A35" t="s">
        <v>163</v>
      </c>
      <c r="B35" s="7">
        <f>100%-0.5*C34</f>
        <v>1</v>
      </c>
      <c r="M35" s="8"/>
      <c r="N35" s="1"/>
    </row>
    <row r="36" spans="1:35" x14ac:dyDescent="0.3">
      <c r="A36" t="s">
        <v>167</v>
      </c>
      <c r="B36" s="8">
        <f>(B35*B5)-(B34/2)</f>
        <v>2000</v>
      </c>
      <c r="E36" s="1">
        <v>1</v>
      </c>
      <c r="F36" s="15">
        <v>0</v>
      </c>
      <c r="G36" s="15">
        <v>0</v>
      </c>
      <c r="H36" s="1">
        <v>0</v>
      </c>
      <c r="I36" s="1">
        <v>0</v>
      </c>
      <c r="J36" s="1">
        <v>0</v>
      </c>
      <c r="K36" s="1">
        <v>0</v>
      </c>
      <c r="S36" s="15">
        <v>0.2</v>
      </c>
      <c r="T36" s="15">
        <v>0.32</v>
      </c>
      <c r="U36" s="1">
        <v>0.192</v>
      </c>
      <c r="V36" s="1">
        <v>0.115</v>
      </c>
      <c r="W36" s="1">
        <v>0.115</v>
      </c>
      <c r="X36" s="1">
        <v>5.7599999999999998E-2</v>
      </c>
      <c r="Y36" s="15">
        <v>0</v>
      </c>
      <c r="AI36" t="s">
        <v>171</v>
      </c>
    </row>
    <row r="37" spans="1:35" x14ac:dyDescent="0.3">
      <c r="A37" t="s">
        <v>165</v>
      </c>
      <c r="C37" s="86">
        <v>0.21</v>
      </c>
      <c r="E37" s="8">
        <f>$B$36*E36</f>
        <v>2000</v>
      </c>
      <c r="F37" s="8">
        <f>($B$36-$E$37)*F36</f>
        <v>0</v>
      </c>
      <c r="G37" s="8">
        <f>($B$36-$E$37)*G36</f>
        <v>0</v>
      </c>
      <c r="H37" s="8">
        <f t="shared" ref="H37:L37" si="7">($B$36-$E$37)*H36</f>
        <v>0</v>
      </c>
      <c r="I37" s="8">
        <f t="shared" si="7"/>
        <v>0</v>
      </c>
      <c r="J37" s="8">
        <f t="shared" si="7"/>
        <v>0</v>
      </c>
      <c r="K37" s="8">
        <f t="shared" si="7"/>
        <v>0</v>
      </c>
      <c r="L37" s="8">
        <f t="shared" si="7"/>
        <v>0</v>
      </c>
      <c r="M37" s="8">
        <f>($B$36-SUM($E$37:L37))*M36</f>
        <v>0</v>
      </c>
      <c r="N37" s="8">
        <f>($B$36-SUM($E$37:M37))*N36</f>
        <v>0</v>
      </c>
      <c r="O37" s="8">
        <f>($B$36-SUM($E$37:N37))*O36</f>
        <v>0</v>
      </c>
      <c r="P37" s="8">
        <f>($B$36-SUM($E$37:O37))*P36</f>
        <v>0</v>
      </c>
      <c r="Q37" s="8">
        <f>($B$36-SUM($E$37:P37))*Q36</f>
        <v>0</v>
      </c>
      <c r="R37" s="8">
        <f>($B$36-SUM($E$37:Q37))*R36</f>
        <v>0</v>
      </c>
      <c r="S37" s="8">
        <f>-$S$4*S36</f>
        <v>80</v>
      </c>
      <c r="T37" s="8">
        <f t="shared" ref="T37:X37" si="8">-$S$4*T36</f>
        <v>128</v>
      </c>
      <c r="U37" s="8">
        <f t="shared" si="8"/>
        <v>76.8</v>
      </c>
      <c r="V37" s="8">
        <f t="shared" si="8"/>
        <v>46</v>
      </c>
      <c r="W37" s="8">
        <f t="shared" si="8"/>
        <v>46</v>
      </c>
      <c r="X37" s="8">
        <f t="shared" si="8"/>
        <v>23.04</v>
      </c>
      <c r="Y37" s="8">
        <f t="shared" ref="Y37" si="9">$S$4*Y36</f>
        <v>0</v>
      </c>
      <c r="Z37" s="8">
        <f>($B$36-SUM($E$37:Y37))*Z36</f>
        <v>0</v>
      </c>
      <c r="AA37" s="8">
        <f>($B$36-SUM($E$37:Z37))*AA36</f>
        <v>0</v>
      </c>
      <c r="AB37" s="8">
        <f>($B$36-SUM($E$37:AA37))*AB36</f>
        <v>0</v>
      </c>
      <c r="AC37" s="8">
        <f>($B$36-SUM($E$37:AB37))*AC36</f>
        <v>0</v>
      </c>
      <c r="AD37" s="8">
        <f>($B$36-SUM($E$37:AC37))*AD36</f>
        <v>0</v>
      </c>
      <c r="AE37" s="8">
        <f>($B$36-SUM($E$37:AD37))*AE36</f>
        <v>0</v>
      </c>
      <c r="AF37" s="8">
        <f>($B$36-SUM($E$37:AE37))*AF36</f>
        <v>0</v>
      </c>
      <c r="AG37" s="8">
        <f>($B$36-SUM($E$37:AF37))*AG36</f>
        <v>0</v>
      </c>
      <c r="AH37" s="8">
        <f>($B$36-SUM($E$37:AG37))*AH36</f>
        <v>0</v>
      </c>
    </row>
    <row r="38" spans="1:35" x14ac:dyDescent="0.3">
      <c r="A38" t="s">
        <v>168</v>
      </c>
      <c r="E38" s="8">
        <f>$C$37*E37</f>
        <v>420</v>
      </c>
      <c r="F38" s="8">
        <f t="shared" ref="F38:AH38" si="10">$C$37*F37</f>
        <v>0</v>
      </c>
      <c r="G38" s="8">
        <f t="shared" si="10"/>
        <v>0</v>
      </c>
      <c r="H38" s="8">
        <f t="shared" si="10"/>
        <v>0</v>
      </c>
      <c r="I38" s="8">
        <f t="shared" si="10"/>
        <v>0</v>
      </c>
      <c r="J38" s="8">
        <f t="shared" si="10"/>
        <v>0</v>
      </c>
      <c r="K38" s="8">
        <f t="shared" si="10"/>
        <v>0</v>
      </c>
      <c r="L38" s="8">
        <f t="shared" si="10"/>
        <v>0</v>
      </c>
      <c r="M38" s="8">
        <f t="shared" si="10"/>
        <v>0</v>
      </c>
      <c r="N38" s="8">
        <f t="shared" si="10"/>
        <v>0</v>
      </c>
      <c r="O38" s="8">
        <f t="shared" si="10"/>
        <v>0</v>
      </c>
      <c r="P38" s="8">
        <f t="shared" si="10"/>
        <v>0</v>
      </c>
      <c r="Q38" s="8">
        <f t="shared" si="10"/>
        <v>0</v>
      </c>
      <c r="R38" s="8">
        <f t="shared" si="10"/>
        <v>0</v>
      </c>
      <c r="S38" s="8">
        <f t="shared" si="10"/>
        <v>16.8</v>
      </c>
      <c r="T38" s="8">
        <f t="shared" si="10"/>
        <v>26.88</v>
      </c>
      <c r="U38" s="8">
        <f t="shared" si="10"/>
        <v>16.128</v>
      </c>
      <c r="V38" s="8">
        <f t="shared" si="10"/>
        <v>9.66</v>
      </c>
      <c r="W38" s="8">
        <f t="shared" si="10"/>
        <v>9.66</v>
      </c>
      <c r="X38" s="8">
        <f t="shared" si="10"/>
        <v>4.8384</v>
      </c>
      <c r="Y38" s="8">
        <f t="shared" si="10"/>
        <v>0</v>
      </c>
      <c r="Z38" s="8">
        <f t="shared" si="10"/>
        <v>0</v>
      </c>
      <c r="AA38" s="8">
        <f t="shared" si="10"/>
        <v>0</v>
      </c>
      <c r="AB38" s="8">
        <f t="shared" si="10"/>
        <v>0</v>
      </c>
      <c r="AC38" s="8">
        <f t="shared" si="10"/>
        <v>0</v>
      </c>
      <c r="AD38" s="8">
        <f t="shared" si="10"/>
        <v>0</v>
      </c>
      <c r="AE38" s="8">
        <f t="shared" si="10"/>
        <v>0</v>
      </c>
      <c r="AF38" s="8">
        <f t="shared" si="10"/>
        <v>0</v>
      </c>
      <c r="AG38" s="8">
        <f t="shared" si="10"/>
        <v>0</v>
      </c>
      <c r="AH38" s="8">
        <f t="shared" si="10"/>
        <v>0</v>
      </c>
    </row>
    <row r="41" spans="1:35" x14ac:dyDescent="0.3">
      <c r="M41" s="8"/>
      <c r="N41" s="1"/>
    </row>
    <row r="42" spans="1:35" x14ac:dyDescent="0.3">
      <c r="A42" t="s">
        <v>167</v>
      </c>
      <c r="B42" s="8">
        <f>B36</f>
        <v>2000</v>
      </c>
      <c r="E42" s="15">
        <v>0.2</v>
      </c>
      <c r="F42" s="15">
        <v>0.32</v>
      </c>
      <c r="G42" s="1">
        <v>0.192</v>
      </c>
      <c r="H42" s="1">
        <v>0.115</v>
      </c>
      <c r="I42" s="1">
        <v>0.115</v>
      </c>
      <c r="J42" s="1">
        <v>5.7599999999999998E-2</v>
      </c>
      <c r="K42" s="15">
        <v>0</v>
      </c>
      <c r="S42" s="15">
        <v>0.2</v>
      </c>
      <c r="T42" s="15">
        <v>0.32</v>
      </c>
      <c r="U42" s="1">
        <v>0.192</v>
      </c>
      <c r="V42" s="1">
        <v>0.115</v>
      </c>
      <c r="W42" s="1">
        <v>0.115</v>
      </c>
      <c r="X42" s="1">
        <v>5.7599999999999998E-2</v>
      </c>
      <c r="Y42" s="15">
        <v>0</v>
      </c>
      <c r="AI42" t="s">
        <v>172</v>
      </c>
    </row>
    <row r="43" spans="1:35" x14ac:dyDescent="0.3">
      <c r="A43" t="s">
        <v>166</v>
      </c>
      <c r="C43" s="86">
        <v>7.0000000000000007E-2</v>
      </c>
      <c r="E43" s="8">
        <f>$B$42*E42</f>
        <v>400</v>
      </c>
      <c r="F43" s="8">
        <f t="shared" ref="F43:J43" si="11">$B$42*F42</f>
        <v>640</v>
      </c>
      <c r="G43" s="8">
        <f t="shared" si="11"/>
        <v>384</v>
      </c>
      <c r="H43" s="8">
        <f t="shared" si="11"/>
        <v>230</v>
      </c>
      <c r="I43" s="8">
        <f t="shared" si="11"/>
        <v>230</v>
      </c>
      <c r="J43" s="8">
        <f t="shared" si="11"/>
        <v>115.2</v>
      </c>
      <c r="K43" s="8">
        <f>($B$42-SUM($E$43:J43))*K42</f>
        <v>0</v>
      </c>
      <c r="L43" s="8">
        <f>($B$42-SUM($E$43:K43))*L42</f>
        <v>0</v>
      </c>
      <c r="M43" s="8">
        <f>($B$42-SUM($E$43:L43))*M42</f>
        <v>0</v>
      </c>
      <c r="N43" s="8">
        <f>($B$42-SUM($E$43:M43))*N42</f>
        <v>0</v>
      </c>
      <c r="O43" s="8">
        <f>($B$42-SUM($E$43:N43))*O42</f>
        <v>0</v>
      </c>
      <c r="P43" s="8">
        <f>($B$42-SUM($E$43:O43))*P42</f>
        <v>0</v>
      </c>
      <c r="Q43" s="8">
        <f>($B$42-SUM($E$43:P43))*Q42</f>
        <v>0</v>
      </c>
      <c r="R43" s="8">
        <f>($B$42-SUM($E$43:Q43))*R42</f>
        <v>0</v>
      </c>
      <c r="S43" s="8">
        <f>-$S$4*S42</f>
        <v>80</v>
      </c>
      <c r="T43" s="8">
        <f t="shared" ref="T43:Y43" si="12">-$S$4*T42</f>
        <v>128</v>
      </c>
      <c r="U43" s="8">
        <f t="shared" si="12"/>
        <v>76.8</v>
      </c>
      <c r="V43" s="8">
        <f t="shared" si="12"/>
        <v>46</v>
      </c>
      <c r="W43" s="8">
        <f t="shared" si="12"/>
        <v>46</v>
      </c>
      <c r="X43" s="8">
        <f t="shared" si="12"/>
        <v>23.04</v>
      </c>
      <c r="Y43" s="8">
        <f t="shared" si="12"/>
        <v>0</v>
      </c>
      <c r="Z43" s="8">
        <f>($B$42-SUM($E$43:Y43))*Z42</f>
        <v>0</v>
      </c>
      <c r="AA43" s="8">
        <f>($B$42-SUM($E$43:Z43))*AA42</f>
        <v>0</v>
      </c>
      <c r="AB43" s="8">
        <f>($B$42-SUM($E$43:AA43))*AB42</f>
        <v>0</v>
      </c>
      <c r="AC43" s="8">
        <f>($B$42-SUM($E$43:AB43))*AC42</f>
        <v>0</v>
      </c>
      <c r="AD43" s="8">
        <f>($B$42-SUM($E$43:AC43))*AD42</f>
        <v>0</v>
      </c>
      <c r="AE43" s="8">
        <f>($B$42-SUM($E$43:AD43))*AE42</f>
        <v>0</v>
      </c>
      <c r="AF43" s="8">
        <f>($B$42-SUM($E$43:AE43))*AF42</f>
        <v>0</v>
      </c>
      <c r="AG43" s="8">
        <f>($B$42-SUM($E$43:AF43))*AG42</f>
        <v>0</v>
      </c>
      <c r="AH43" s="8">
        <f>($B$42-SUM($E$43:AG43))*AH42</f>
        <v>0</v>
      </c>
    </row>
    <row r="44" spans="1:35" x14ac:dyDescent="0.3">
      <c r="A44" t="s">
        <v>169</v>
      </c>
      <c r="E44" s="8">
        <f>$C$43*E43</f>
        <v>28.000000000000004</v>
      </c>
      <c r="F44" s="8">
        <f t="shared" ref="F44:AH44" si="13">$C$43*F43</f>
        <v>44.800000000000004</v>
      </c>
      <c r="G44" s="8">
        <f t="shared" si="13"/>
        <v>26.880000000000003</v>
      </c>
      <c r="H44" s="8">
        <f t="shared" si="13"/>
        <v>16.100000000000001</v>
      </c>
      <c r="I44" s="8">
        <f t="shared" si="13"/>
        <v>16.100000000000001</v>
      </c>
      <c r="J44" s="8">
        <f t="shared" si="13"/>
        <v>8.0640000000000018</v>
      </c>
      <c r="K44" s="8">
        <f t="shared" si="13"/>
        <v>0</v>
      </c>
      <c r="L44" s="8">
        <f t="shared" si="13"/>
        <v>0</v>
      </c>
      <c r="M44" s="8">
        <f t="shared" si="13"/>
        <v>0</v>
      </c>
      <c r="N44" s="8">
        <f t="shared" si="13"/>
        <v>0</v>
      </c>
      <c r="O44" s="8">
        <f t="shared" si="13"/>
        <v>0</v>
      </c>
      <c r="P44" s="8">
        <f t="shared" si="13"/>
        <v>0</v>
      </c>
      <c r="Q44" s="8">
        <f t="shared" si="13"/>
        <v>0</v>
      </c>
      <c r="R44" s="8">
        <f t="shared" si="13"/>
        <v>0</v>
      </c>
      <c r="S44" s="8">
        <f t="shared" si="13"/>
        <v>5.6000000000000005</v>
      </c>
      <c r="T44" s="8">
        <f t="shared" si="13"/>
        <v>8.9600000000000009</v>
      </c>
      <c r="U44" s="8">
        <f t="shared" si="13"/>
        <v>5.3760000000000003</v>
      </c>
      <c r="V44" s="8">
        <f t="shared" si="13"/>
        <v>3.22</v>
      </c>
      <c r="W44" s="8">
        <f t="shared" si="13"/>
        <v>3.22</v>
      </c>
      <c r="X44" s="8">
        <f t="shared" si="13"/>
        <v>1.6128</v>
      </c>
      <c r="Y44" s="8">
        <f t="shared" si="13"/>
        <v>0</v>
      </c>
      <c r="Z44" s="8">
        <f t="shared" si="13"/>
        <v>0</v>
      </c>
      <c r="AA44" s="8">
        <f t="shared" si="13"/>
        <v>0</v>
      </c>
      <c r="AB44" s="8">
        <f t="shared" si="13"/>
        <v>0</v>
      </c>
      <c r="AC44" s="8">
        <f t="shared" si="13"/>
        <v>0</v>
      </c>
      <c r="AD44" s="8">
        <f t="shared" si="13"/>
        <v>0</v>
      </c>
      <c r="AE44" s="8">
        <f t="shared" si="13"/>
        <v>0</v>
      </c>
      <c r="AF44" s="8">
        <f t="shared" si="13"/>
        <v>0</v>
      </c>
      <c r="AG44" s="8">
        <f t="shared" si="13"/>
        <v>0</v>
      </c>
      <c r="AH44" s="8">
        <f t="shared" si="13"/>
        <v>0</v>
      </c>
    </row>
    <row r="46" spans="1:35" x14ac:dyDescent="0.3">
      <c r="A46" t="s">
        <v>170</v>
      </c>
      <c r="E46" s="8">
        <f>E38+E44</f>
        <v>448</v>
      </c>
      <c r="F46" s="8">
        <f t="shared" ref="F46:AH46" si="14">F38+F44</f>
        <v>44.800000000000004</v>
      </c>
      <c r="G46" s="8">
        <f t="shared" si="14"/>
        <v>26.880000000000003</v>
      </c>
      <c r="H46" s="8">
        <f t="shared" si="14"/>
        <v>16.100000000000001</v>
      </c>
      <c r="I46" s="8">
        <f t="shared" si="14"/>
        <v>16.100000000000001</v>
      </c>
      <c r="J46" s="8">
        <f t="shared" si="14"/>
        <v>8.0640000000000018</v>
      </c>
      <c r="K46" s="8">
        <f t="shared" si="14"/>
        <v>0</v>
      </c>
      <c r="L46" s="8">
        <f t="shared" si="14"/>
        <v>0</v>
      </c>
      <c r="M46" s="8">
        <f t="shared" si="14"/>
        <v>0</v>
      </c>
      <c r="N46" s="8">
        <f t="shared" si="14"/>
        <v>0</v>
      </c>
      <c r="O46" s="8">
        <f t="shared" si="14"/>
        <v>0</v>
      </c>
      <c r="P46" s="8">
        <f t="shared" si="14"/>
        <v>0</v>
      </c>
      <c r="Q46" s="8">
        <f t="shared" si="14"/>
        <v>0</v>
      </c>
      <c r="R46" s="8">
        <f t="shared" si="14"/>
        <v>0</v>
      </c>
      <c r="S46" s="8">
        <f t="shared" si="14"/>
        <v>22.400000000000002</v>
      </c>
      <c r="T46" s="8">
        <f t="shared" si="14"/>
        <v>35.840000000000003</v>
      </c>
      <c r="U46" s="8">
        <f t="shared" si="14"/>
        <v>21.504000000000001</v>
      </c>
      <c r="V46" s="8">
        <f t="shared" si="14"/>
        <v>12.88</v>
      </c>
      <c r="W46" s="8">
        <f t="shared" si="14"/>
        <v>12.88</v>
      </c>
      <c r="X46" s="8">
        <f t="shared" si="14"/>
        <v>6.4512</v>
      </c>
      <c r="Y46" s="8">
        <f t="shared" si="14"/>
        <v>0</v>
      </c>
      <c r="Z46" s="8">
        <f t="shared" si="14"/>
        <v>0</v>
      </c>
      <c r="AA46" s="8">
        <f t="shared" si="14"/>
        <v>0</v>
      </c>
      <c r="AB46" s="8">
        <f t="shared" si="14"/>
        <v>0</v>
      </c>
      <c r="AC46" s="8">
        <f t="shared" si="14"/>
        <v>0</v>
      </c>
      <c r="AD46" s="8">
        <f t="shared" si="14"/>
        <v>0</v>
      </c>
      <c r="AE46" s="8">
        <f t="shared" si="14"/>
        <v>0</v>
      </c>
      <c r="AF46" s="8">
        <f t="shared" si="14"/>
        <v>0</v>
      </c>
      <c r="AG46" s="8">
        <f t="shared" si="14"/>
        <v>0</v>
      </c>
      <c r="AH46" s="8">
        <f t="shared" si="14"/>
        <v>0</v>
      </c>
    </row>
    <row r="47" spans="1:35" x14ac:dyDescent="0.3">
      <c r="A47" t="s">
        <v>178</v>
      </c>
      <c r="B47">
        <v>10</v>
      </c>
      <c r="C47" t="s">
        <v>145</v>
      </c>
      <c r="E47" s="8">
        <f>B47</f>
        <v>10</v>
      </c>
      <c r="F47" s="8">
        <f t="shared" ref="F47:AH50" si="15">E47*(1+$B$56)</f>
        <v>10.3</v>
      </c>
      <c r="G47" s="8">
        <f t="shared" si="15"/>
        <v>10.609000000000002</v>
      </c>
      <c r="H47" s="8">
        <f t="shared" si="15"/>
        <v>10.927270000000002</v>
      </c>
      <c r="I47" s="8">
        <f t="shared" si="15"/>
        <v>11.255088100000002</v>
      </c>
      <c r="J47" s="8">
        <f t="shared" si="15"/>
        <v>11.592740743000002</v>
      </c>
      <c r="K47" s="8">
        <f t="shared" si="15"/>
        <v>11.940522965290002</v>
      </c>
      <c r="L47" s="8">
        <f t="shared" si="15"/>
        <v>12.298738654248703</v>
      </c>
      <c r="M47" s="8">
        <f t="shared" si="15"/>
        <v>12.667700813876165</v>
      </c>
      <c r="N47" s="8">
        <f t="shared" si="15"/>
        <v>13.047731838292449</v>
      </c>
      <c r="O47" s="8">
        <f t="shared" si="15"/>
        <v>13.439163793441223</v>
      </c>
      <c r="P47" s="8">
        <f t="shared" si="15"/>
        <v>13.84233870724446</v>
      </c>
      <c r="Q47" s="8">
        <f t="shared" si="15"/>
        <v>14.257608868461794</v>
      </c>
      <c r="R47" s="8">
        <f t="shared" si="15"/>
        <v>14.685337134515649</v>
      </c>
      <c r="S47" s="8">
        <f t="shared" si="15"/>
        <v>15.125897248551119</v>
      </c>
      <c r="T47" s="8">
        <f t="shared" si="15"/>
        <v>15.579674166007653</v>
      </c>
      <c r="U47" s="8">
        <f t="shared" si="15"/>
        <v>16.047064390987885</v>
      </c>
      <c r="V47" s="8">
        <f t="shared" si="15"/>
        <v>16.52847632271752</v>
      </c>
      <c r="W47" s="8">
        <f t="shared" si="15"/>
        <v>17.024330612399044</v>
      </c>
      <c r="X47" s="8">
        <f t="shared" si="15"/>
        <v>17.535060530771016</v>
      </c>
      <c r="Y47" s="8">
        <f t="shared" si="15"/>
        <v>18.061112346694149</v>
      </c>
      <c r="Z47" s="8">
        <f t="shared" si="15"/>
        <v>18.602945717094972</v>
      </c>
      <c r="AA47" s="8">
        <f t="shared" si="15"/>
        <v>19.161034088607821</v>
      </c>
      <c r="AB47" s="8">
        <f t="shared" si="15"/>
        <v>19.735865111266055</v>
      </c>
      <c r="AC47" s="8">
        <f t="shared" si="15"/>
        <v>20.327941064604037</v>
      </c>
      <c r="AD47" s="8">
        <f t="shared" si="15"/>
        <v>20.937779296542157</v>
      </c>
      <c r="AE47" s="8">
        <f t="shared" si="15"/>
        <v>21.565912675438422</v>
      </c>
      <c r="AF47" s="8">
        <f t="shared" si="15"/>
        <v>22.212890055701575</v>
      </c>
      <c r="AG47" s="8">
        <f t="shared" si="15"/>
        <v>22.879276757372622</v>
      </c>
      <c r="AH47" s="8">
        <f t="shared" si="15"/>
        <v>23.565655060093803</v>
      </c>
    </row>
    <row r="48" spans="1:35" x14ac:dyDescent="0.3">
      <c r="A48" t="s">
        <v>255</v>
      </c>
      <c r="B48">
        <v>5</v>
      </c>
      <c r="C48" t="s">
        <v>145</v>
      </c>
      <c r="E48" s="8">
        <f t="shared" ref="E48:E50" si="16">B48</f>
        <v>5</v>
      </c>
      <c r="F48" s="8">
        <f t="shared" si="15"/>
        <v>5.15</v>
      </c>
      <c r="G48" s="8">
        <f t="shared" si="15"/>
        <v>5.3045000000000009</v>
      </c>
      <c r="H48" s="8">
        <f t="shared" si="15"/>
        <v>5.4636350000000009</v>
      </c>
      <c r="I48" s="8">
        <f t="shared" si="15"/>
        <v>5.6275440500000009</v>
      </c>
      <c r="J48" s="8">
        <f t="shared" si="15"/>
        <v>5.796370371500001</v>
      </c>
      <c r="K48" s="8">
        <f t="shared" si="15"/>
        <v>5.9702614826450011</v>
      </c>
      <c r="L48" s="8">
        <f t="shared" si="15"/>
        <v>6.1493693271243517</v>
      </c>
      <c r="M48" s="8">
        <f t="shared" si="15"/>
        <v>6.3338504069380823</v>
      </c>
      <c r="N48" s="8">
        <f t="shared" si="15"/>
        <v>6.5238659191462247</v>
      </c>
      <c r="O48" s="8">
        <f t="shared" si="15"/>
        <v>6.7195818967206113</v>
      </c>
      <c r="P48" s="8">
        <f t="shared" si="15"/>
        <v>6.9211693536222301</v>
      </c>
      <c r="Q48" s="8">
        <f t="shared" si="15"/>
        <v>7.1288044342308972</v>
      </c>
      <c r="R48" s="8">
        <f t="shared" si="15"/>
        <v>7.3426685672578245</v>
      </c>
      <c r="S48" s="8">
        <f t="shared" si="15"/>
        <v>7.5629486242755597</v>
      </c>
      <c r="T48" s="8">
        <f t="shared" si="15"/>
        <v>7.7898370830038264</v>
      </c>
      <c r="U48" s="8">
        <f t="shared" si="15"/>
        <v>8.0235321954939423</v>
      </c>
      <c r="V48" s="8">
        <f t="shared" si="15"/>
        <v>8.2642381613587599</v>
      </c>
      <c r="W48" s="8">
        <f t="shared" si="15"/>
        <v>8.5121653061995222</v>
      </c>
      <c r="X48" s="8">
        <f t="shared" si="15"/>
        <v>8.7675302653855081</v>
      </c>
      <c r="Y48" s="8">
        <f t="shared" si="15"/>
        <v>9.0305561733470743</v>
      </c>
      <c r="Z48" s="8">
        <f t="shared" si="15"/>
        <v>9.301472858547486</v>
      </c>
      <c r="AA48" s="8">
        <f t="shared" si="15"/>
        <v>9.5805170443039103</v>
      </c>
      <c r="AB48" s="8">
        <f t="shared" si="15"/>
        <v>9.8679325556330273</v>
      </c>
      <c r="AC48" s="8">
        <f t="shared" si="15"/>
        <v>10.163970532302018</v>
      </c>
      <c r="AD48" s="8">
        <f t="shared" si="15"/>
        <v>10.468889648271078</v>
      </c>
      <c r="AE48" s="8">
        <f t="shared" si="15"/>
        <v>10.782956337719211</v>
      </c>
      <c r="AF48" s="8">
        <f t="shared" si="15"/>
        <v>11.106445027850787</v>
      </c>
      <c r="AG48" s="8">
        <f t="shared" si="15"/>
        <v>11.439638378686311</v>
      </c>
      <c r="AH48" s="8">
        <f t="shared" si="15"/>
        <v>11.782827530046902</v>
      </c>
    </row>
    <row r="49" spans="1:34" x14ac:dyDescent="0.3">
      <c r="A49" t="s">
        <v>256</v>
      </c>
      <c r="B49">
        <v>3</v>
      </c>
      <c r="C49" t="s">
        <v>145</v>
      </c>
      <c r="E49" s="8">
        <f t="shared" si="16"/>
        <v>3</v>
      </c>
      <c r="F49" s="8">
        <f t="shared" si="15"/>
        <v>3.09</v>
      </c>
      <c r="G49" s="8">
        <f t="shared" si="15"/>
        <v>3.1827000000000001</v>
      </c>
      <c r="H49" s="8">
        <f t="shared" si="15"/>
        <v>3.278181</v>
      </c>
      <c r="I49" s="8">
        <f t="shared" si="15"/>
        <v>3.3765264300000002</v>
      </c>
      <c r="J49" s="8">
        <f t="shared" si="15"/>
        <v>3.4778222229000004</v>
      </c>
      <c r="K49" s="8">
        <f t="shared" si="15"/>
        <v>3.5821568895870004</v>
      </c>
      <c r="L49" s="8">
        <f t="shared" si="15"/>
        <v>3.6896215962746104</v>
      </c>
      <c r="M49" s="8">
        <f t="shared" si="15"/>
        <v>3.8003102441628487</v>
      </c>
      <c r="N49" s="8">
        <f t="shared" si="15"/>
        <v>3.914319551487734</v>
      </c>
      <c r="O49" s="8">
        <f t="shared" si="15"/>
        <v>4.0317491380323665</v>
      </c>
      <c r="P49" s="8">
        <f t="shared" si="15"/>
        <v>4.1527016121733373</v>
      </c>
      <c r="Q49" s="8">
        <f t="shared" si="15"/>
        <v>4.2772826605385372</v>
      </c>
      <c r="R49" s="8">
        <f t="shared" si="15"/>
        <v>4.4056011403546931</v>
      </c>
      <c r="S49" s="8">
        <f t="shared" si="15"/>
        <v>4.5377691745653337</v>
      </c>
      <c r="T49" s="8">
        <f t="shared" si="15"/>
        <v>4.6739022498022935</v>
      </c>
      <c r="U49" s="8">
        <f t="shared" si="15"/>
        <v>4.8141193172963623</v>
      </c>
      <c r="V49" s="8">
        <f t="shared" si="15"/>
        <v>4.9585428968152536</v>
      </c>
      <c r="W49" s="8">
        <f t="shared" si="15"/>
        <v>5.1072991837197117</v>
      </c>
      <c r="X49" s="8">
        <f t="shared" si="15"/>
        <v>5.2605181592313031</v>
      </c>
      <c r="Y49" s="8">
        <f t="shared" si="15"/>
        <v>5.4183337040082424</v>
      </c>
      <c r="Z49" s="8">
        <f t="shared" si="15"/>
        <v>5.5808837151284898</v>
      </c>
      <c r="AA49" s="8">
        <f t="shared" si="15"/>
        <v>5.7483102265823449</v>
      </c>
      <c r="AB49" s="8">
        <f t="shared" si="15"/>
        <v>5.9207595333798153</v>
      </c>
      <c r="AC49" s="8">
        <f t="shared" si="15"/>
        <v>6.0983823193812103</v>
      </c>
      <c r="AD49" s="8">
        <f t="shared" si="15"/>
        <v>6.2813337889626464</v>
      </c>
      <c r="AE49" s="8">
        <f t="shared" si="15"/>
        <v>6.4697738026315257</v>
      </c>
      <c r="AF49" s="8">
        <f t="shared" si="15"/>
        <v>6.6638670167104719</v>
      </c>
      <c r="AG49" s="8">
        <f t="shared" si="15"/>
        <v>6.8637830272117863</v>
      </c>
      <c r="AH49" s="8">
        <f t="shared" si="15"/>
        <v>7.0696965180281399</v>
      </c>
    </row>
    <row r="50" spans="1:34" x14ac:dyDescent="0.3">
      <c r="A50" t="s">
        <v>257</v>
      </c>
      <c r="B50">
        <v>10</v>
      </c>
      <c r="C50" t="s">
        <v>258</v>
      </c>
      <c r="E50" s="8">
        <f t="shared" si="16"/>
        <v>10</v>
      </c>
      <c r="F50" s="8">
        <f t="shared" si="15"/>
        <v>10.3</v>
      </c>
      <c r="G50" s="8">
        <f t="shared" si="15"/>
        <v>10.609000000000002</v>
      </c>
      <c r="H50" s="8">
        <f t="shared" si="15"/>
        <v>10.927270000000002</v>
      </c>
      <c r="I50" s="8">
        <f t="shared" si="15"/>
        <v>11.255088100000002</v>
      </c>
      <c r="J50" s="8">
        <f t="shared" si="15"/>
        <v>11.592740743000002</v>
      </c>
      <c r="K50" s="8">
        <f t="shared" si="15"/>
        <v>11.940522965290002</v>
      </c>
      <c r="L50" s="8">
        <f t="shared" si="15"/>
        <v>12.298738654248703</v>
      </c>
      <c r="M50" s="8">
        <f t="shared" si="15"/>
        <v>12.667700813876165</v>
      </c>
      <c r="N50" s="8">
        <f t="shared" si="15"/>
        <v>13.047731838292449</v>
      </c>
      <c r="O50" s="8">
        <f t="shared" si="15"/>
        <v>13.439163793441223</v>
      </c>
      <c r="P50" s="8">
        <f t="shared" si="15"/>
        <v>13.84233870724446</v>
      </c>
      <c r="Q50" s="8">
        <f t="shared" si="15"/>
        <v>14.257608868461794</v>
      </c>
      <c r="R50" s="8">
        <f t="shared" si="15"/>
        <v>14.685337134515649</v>
      </c>
      <c r="S50" s="8">
        <f t="shared" si="15"/>
        <v>15.125897248551119</v>
      </c>
      <c r="T50" s="8">
        <f t="shared" si="15"/>
        <v>15.579674166007653</v>
      </c>
      <c r="U50" s="8">
        <f t="shared" si="15"/>
        <v>16.047064390987885</v>
      </c>
      <c r="V50" s="8">
        <f t="shared" si="15"/>
        <v>16.52847632271752</v>
      </c>
      <c r="W50" s="8">
        <f t="shared" si="15"/>
        <v>17.024330612399044</v>
      </c>
      <c r="X50" s="8">
        <f t="shared" si="15"/>
        <v>17.535060530771016</v>
      </c>
      <c r="Y50" s="8">
        <f t="shared" si="15"/>
        <v>18.061112346694149</v>
      </c>
      <c r="Z50" s="8">
        <f t="shared" si="15"/>
        <v>18.602945717094972</v>
      </c>
      <c r="AA50" s="8">
        <f t="shared" si="15"/>
        <v>19.161034088607821</v>
      </c>
      <c r="AB50" s="8">
        <f t="shared" si="15"/>
        <v>19.735865111266055</v>
      </c>
      <c r="AC50" s="8">
        <f t="shared" si="15"/>
        <v>20.327941064604037</v>
      </c>
      <c r="AD50" s="8">
        <f t="shared" si="15"/>
        <v>20.937779296542157</v>
      </c>
      <c r="AE50" s="8">
        <f t="shared" si="15"/>
        <v>21.565912675438422</v>
      </c>
      <c r="AF50" s="8">
        <f t="shared" si="15"/>
        <v>22.212890055701575</v>
      </c>
      <c r="AG50" s="8">
        <f t="shared" si="15"/>
        <v>22.879276757372622</v>
      </c>
      <c r="AH50" s="8">
        <f t="shared" si="15"/>
        <v>23.565655060093803</v>
      </c>
    </row>
    <row r="51" spans="1:34" x14ac:dyDescent="0.3">
      <c r="A51" t="s">
        <v>259</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x14ac:dyDescent="0.3">
      <c r="A52" t="s">
        <v>260</v>
      </c>
      <c r="B52" s="6">
        <v>1.26E-2</v>
      </c>
      <c r="C52" t="s">
        <v>261</v>
      </c>
      <c r="E52" s="8">
        <f>$B$52*$B$5*(1+$B$56)^(E16-1)</f>
        <v>25.2</v>
      </c>
      <c r="F52" s="8">
        <f t="shared" ref="F52:AH52" si="17">$B$52*$B$5*(1+$B$56)^(F16-1)</f>
        <v>25.956</v>
      </c>
      <c r="G52" s="8">
        <f t="shared" si="17"/>
        <v>26.734679999999997</v>
      </c>
      <c r="H52" s="8">
        <f t="shared" si="17"/>
        <v>27.5367204</v>
      </c>
      <c r="I52" s="8">
        <f t="shared" si="17"/>
        <v>28.362822011999999</v>
      </c>
      <c r="J52" s="8">
        <f t="shared" si="17"/>
        <v>29.213706672359994</v>
      </c>
      <c r="K52" s="8">
        <f t="shared" si="17"/>
        <v>30.090117872530797</v>
      </c>
      <c r="L52" s="8">
        <f t="shared" si="17"/>
        <v>30.992821408706721</v>
      </c>
      <c r="M52" s="8">
        <f t="shared" si="17"/>
        <v>31.922606050967921</v>
      </c>
      <c r="N52" s="8">
        <f t="shared" si="17"/>
        <v>32.880284232496962</v>
      </c>
      <c r="O52" s="8">
        <f t="shared" si="17"/>
        <v>33.866692759471867</v>
      </c>
      <c r="P52" s="8">
        <f t="shared" si="17"/>
        <v>34.882693542256028</v>
      </c>
      <c r="Q52" s="8">
        <f t="shared" si="17"/>
        <v>35.929174348523702</v>
      </c>
      <c r="R52" s="8">
        <f t="shared" si="17"/>
        <v>37.007049578979412</v>
      </c>
      <c r="S52" s="8">
        <f t="shared" si="17"/>
        <v>38.117261066348796</v>
      </c>
      <c r="T52" s="8">
        <f t="shared" si="17"/>
        <v>39.260778898339261</v>
      </c>
      <c r="U52" s="8">
        <f t="shared" si="17"/>
        <v>40.438602265289433</v>
      </c>
      <c r="V52" s="8">
        <f t="shared" si="17"/>
        <v>41.651760333248113</v>
      </c>
      <c r="W52" s="8">
        <f t="shared" si="17"/>
        <v>42.901313143245559</v>
      </c>
      <c r="X52" s="8">
        <f t="shared" si="17"/>
        <v>44.188352537542926</v>
      </c>
      <c r="Y52" s="8">
        <f t="shared" si="17"/>
        <v>45.514003113669212</v>
      </c>
      <c r="Z52" s="8">
        <f t="shared" si="17"/>
        <v>46.879423207079284</v>
      </c>
      <c r="AA52" s="8">
        <f t="shared" si="17"/>
        <v>48.285805903291667</v>
      </c>
      <c r="AB52" s="8">
        <f t="shared" si="17"/>
        <v>49.734380080390416</v>
      </c>
      <c r="AC52" s="8">
        <f t="shared" si="17"/>
        <v>51.226411482802128</v>
      </c>
      <c r="AD52" s="8">
        <f t="shared" si="17"/>
        <v>52.763203827286191</v>
      </c>
      <c r="AE52" s="8">
        <f t="shared" si="17"/>
        <v>54.346099942104779</v>
      </c>
      <c r="AF52" s="8">
        <f t="shared" si="17"/>
        <v>55.976482940367916</v>
      </c>
      <c r="AG52" s="8">
        <f t="shared" si="17"/>
        <v>57.655777428578958</v>
      </c>
      <c r="AH52" s="8">
        <f t="shared" si="17"/>
        <v>59.385450751436316</v>
      </c>
    </row>
    <row r="53" spans="1:34" s="121" customFormat="1" x14ac:dyDescent="0.3">
      <c r="A53" s="121" t="s">
        <v>262</v>
      </c>
      <c r="E53" s="8">
        <f>$B$5*$B$10</f>
        <v>200</v>
      </c>
      <c r="F53" s="8">
        <f>IF(E16&lt;($B$11+1),IF(-PMT($B$10,$B$11,($B$5-$B$4-$B$34)*$B$9)&lt;0,0,-PMT($B$10,$B$11,($B$5-$B$4-$B$34)*$B$9)),0)</f>
        <v>0</v>
      </c>
      <c r="G53" s="8">
        <f t="shared" ref="G53:AH53" si="18">IF(F16&lt;($B$11+1),IF(-PMT($B$10,$B$11,($B$5-$B$4-$B$34)*$B$9)&lt;0,0,-PMT($B$10,$B$11,($B$5-$B$4-$B$34)*$B$9)),0)</f>
        <v>0</v>
      </c>
      <c r="H53" s="8">
        <f t="shared" si="18"/>
        <v>0</v>
      </c>
      <c r="I53" s="8">
        <f t="shared" si="18"/>
        <v>0</v>
      </c>
      <c r="J53" s="8">
        <f t="shared" si="18"/>
        <v>0</v>
      </c>
      <c r="K53" s="8">
        <f t="shared" si="18"/>
        <v>0</v>
      </c>
      <c r="L53" s="8">
        <f t="shared" si="18"/>
        <v>0</v>
      </c>
      <c r="M53" s="8">
        <f t="shared" si="18"/>
        <v>0</v>
      </c>
      <c r="N53" s="8">
        <f t="shared" si="18"/>
        <v>0</v>
      </c>
      <c r="O53" s="8">
        <f t="shared" si="18"/>
        <v>0</v>
      </c>
      <c r="P53" s="8">
        <f t="shared" si="18"/>
        <v>0</v>
      </c>
      <c r="Q53" s="8">
        <f t="shared" si="18"/>
        <v>0</v>
      </c>
      <c r="R53" s="8">
        <f t="shared" si="18"/>
        <v>0</v>
      </c>
      <c r="S53" s="8">
        <f t="shared" si="18"/>
        <v>0</v>
      </c>
      <c r="T53" s="8">
        <f t="shared" si="18"/>
        <v>0</v>
      </c>
      <c r="U53" s="8">
        <f t="shared" si="18"/>
        <v>0</v>
      </c>
      <c r="V53" s="8">
        <f t="shared" si="18"/>
        <v>0</v>
      </c>
      <c r="W53" s="8">
        <f t="shared" si="18"/>
        <v>0</v>
      </c>
      <c r="X53" s="8">
        <f t="shared" si="18"/>
        <v>0</v>
      </c>
      <c r="Y53" s="8">
        <f t="shared" si="18"/>
        <v>0</v>
      </c>
      <c r="Z53" s="8">
        <f t="shared" si="18"/>
        <v>0</v>
      </c>
      <c r="AA53" s="8">
        <f t="shared" si="18"/>
        <v>0</v>
      </c>
      <c r="AB53" s="8">
        <f t="shared" si="18"/>
        <v>0</v>
      </c>
      <c r="AC53" s="8">
        <f t="shared" si="18"/>
        <v>0</v>
      </c>
      <c r="AD53" s="8">
        <f t="shared" si="18"/>
        <v>0</v>
      </c>
      <c r="AE53" s="8">
        <f t="shared" si="18"/>
        <v>0</v>
      </c>
      <c r="AF53" s="8">
        <f t="shared" si="18"/>
        <v>0</v>
      </c>
      <c r="AG53" s="8">
        <f t="shared" si="18"/>
        <v>0</v>
      </c>
      <c r="AH53" s="8">
        <f t="shared" si="18"/>
        <v>0</v>
      </c>
    </row>
    <row r="54" spans="1:34" x14ac:dyDescent="0.3">
      <c r="A54" s="116" t="s">
        <v>263</v>
      </c>
      <c r="B54" s="116"/>
      <c r="C54" s="116"/>
      <c r="D54" s="116"/>
      <c r="E54" s="87">
        <f>SUM(E47:E53)</f>
        <v>253.2</v>
      </c>
      <c r="F54" s="87">
        <f t="shared" ref="F54:AH54" si="19">SUM(F47:F53)</f>
        <v>54.795999999999999</v>
      </c>
      <c r="G54" s="87">
        <f t="shared" si="19"/>
        <v>56.439880000000002</v>
      </c>
      <c r="H54" s="87">
        <f t="shared" si="19"/>
        <v>58.133076400000007</v>
      </c>
      <c r="I54" s="87">
        <f t="shared" si="19"/>
        <v>59.877068692000009</v>
      </c>
      <c r="J54" s="87">
        <f t="shared" si="19"/>
        <v>61.673380752759996</v>
      </c>
      <c r="K54" s="87">
        <f t="shared" si="19"/>
        <v>63.523582175342803</v>
      </c>
      <c r="L54" s="87">
        <f t="shared" si="19"/>
        <v>65.429289640603088</v>
      </c>
      <c r="M54" s="87">
        <f t="shared" si="19"/>
        <v>67.392168329821175</v>
      </c>
      <c r="N54" s="87">
        <f t="shared" si="19"/>
        <v>69.413933379715814</v>
      </c>
      <c r="O54" s="87">
        <f t="shared" si="19"/>
        <v>71.496351381107289</v>
      </c>
      <c r="P54" s="87">
        <f t="shared" si="19"/>
        <v>73.641241922540516</v>
      </c>
      <c r="Q54" s="87">
        <f t="shared" si="19"/>
        <v>75.850479180216723</v>
      </c>
      <c r="R54" s="87">
        <f t="shared" si="19"/>
        <v>78.125993555623239</v>
      </c>
      <c r="S54" s="87">
        <f t="shared" si="19"/>
        <v>80.469773362291932</v>
      </c>
      <c r="T54" s="87">
        <f t="shared" si="19"/>
        <v>82.883866563160694</v>
      </c>
      <c r="U54" s="87">
        <f t="shared" si="19"/>
        <v>85.370382560055504</v>
      </c>
      <c r="V54" s="87">
        <f t="shared" si="19"/>
        <v>87.931494036857174</v>
      </c>
      <c r="W54" s="87">
        <f t="shared" si="19"/>
        <v>90.569438857962879</v>
      </c>
      <c r="X54" s="87">
        <f t="shared" si="19"/>
        <v>93.286522023701764</v>
      </c>
      <c r="Y54" s="87">
        <f t="shared" si="19"/>
        <v>96.085117684412836</v>
      </c>
      <c r="Z54" s="87">
        <f t="shared" si="19"/>
        <v>98.967671214945199</v>
      </c>
      <c r="AA54" s="87">
        <f t="shared" si="19"/>
        <v>101.93670135139357</v>
      </c>
      <c r="AB54" s="87">
        <f t="shared" si="19"/>
        <v>104.99480239193537</v>
      </c>
      <c r="AC54" s="87">
        <f t="shared" si="19"/>
        <v>108.14464646369342</v>
      </c>
      <c r="AD54" s="87">
        <f t="shared" si="19"/>
        <v>111.38898585760423</v>
      </c>
      <c r="AE54" s="87">
        <f t="shared" si="19"/>
        <v>114.73065543333237</v>
      </c>
      <c r="AF54" s="87">
        <f t="shared" si="19"/>
        <v>118.17257509633232</v>
      </c>
      <c r="AG54" s="87">
        <f t="shared" si="19"/>
        <v>121.71775234922229</v>
      </c>
      <c r="AH54" s="87">
        <f t="shared" si="19"/>
        <v>125.36928491969897</v>
      </c>
    </row>
    <row r="56" spans="1:34" x14ac:dyDescent="0.3">
      <c r="A56" t="s">
        <v>264</v>
      </c>
      <c r="B56" s="7">
        <v>0.03</v>
      </c>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row>
    <row r="57" spans="1:34" x14ac:dyDescent="0.3">
      <c r="A57" t="s">
        <v>173</v>
      </c>
      <c r="D57" s="8">
        <f>-(B5+B8)*(1-$B$9)</f>
        <v>-1010</v>
      </c>
      <c r="E57" s="13">
        <f>E46+E31+E30+E34+E4-E54-$B$8</f>
        <v>327.55798999999996</v>
      </c>
      <c r="F57" s="13">
        <f t="shared" ref="F57:AH57" si="20">F46+F31+F30+F34+F4-F54-$B$8</f>
        <v>2110.1872575000002</v>
      </c>
      <c r="G57" s="13">
        <f t="shared" si="20"/>
        <v>78.205730279999997</v>
      </c>
      <c r="H57" s="13">
        <f t="shared" si="20"/>
        <v>63.574958253199995</v>
      </c>
      <c r="I57" s="13">
        <f t="shared" si="20"/>
        <v>63.076262645216005</v>
      </c>
      <c r="J57" s="13">
        <f t="shared" si="20"/>
        <v>54.507220863471346</v>
      </c>
      <c r="K57" s="13">
        <f t="shared" si="20"/>
        <v>45.874421324529635</v>
      </c>
      <c r="L57" s="13">
        <f t="shared" si="20"/>
        <v>45.268404488109582</v>
      </c>
      <c r="M57" s="13">
        <f t="shared" si="20"/>
        <v>44.623661346485392</v>
      </c>
      <c r="N57" s="13">
        <f t="shared" si="20"/>
        <v>43.938631867936948</v>
      </c>
      <c r="O57" s="13">
        <f t="shared" si="20"/>
        <v>43.211703392874981</v>
      </c>
      <c r="P57" s="13">
        <f t="shared" si="20"/>
        <v>42.44120898122533</v>
      </c>
      <c r="Q57" s="13">
        <f t="shared" si="20"/>
        <v>41.625425709614518</v>
      </c>
      <c r="R57" s="13">
        <f t="shared" si="20"/>
        <v>40.762572916854424</v>
      </c>
      <c r="S57" s="13">
        <f t="shared" si="20"/>
        <v>-337.74918960381785</v>
      </c>
      <c r="T57" s="13">
        <f t="shared" si="20"/>
        <v>74.728236532660645</v>
      </c>
      <c r="U57" s="13">
        <f t="shared" si="20"/>
        <v>59.376886384103614</v>
      </c>
      <c r="V57" s="13">
        <f t="shared" si="20"/>
        <v>49.682729703834895</v>
      </c>
      <c r="W57" s="13">
        <f t="shared" si="20"/>
        <v>48.555668903545794</v>
      </c>
      <c r="X57" s="13">
        <f t="shared" si="20"/>
        <v>40.940736954459908</v>
      </c>
      <c r="Y57" s="13">
        <f t="shared" si="20"/>
        <v>33.24209522496335</v>
      </c>
      <c r="Z57" s="13">
        <f t="shared" si="20"/>
        <v>31.931031252802796</v>
      </c>
      <c r="AA57" s="13">
        <f t="shared" si="20"/>
        <v>30.553956449897328</v>
      </c>
      <c r="AB57" s="13">
        <f t="shared" si="20"/>
        <v>29.108403737753093</v>
      </c>
      <c r="AC57" s="13">
        <f t="shared" si="20"/>
        <v>27.591825111407957</v>
      </c>
      <c r="AD57" s="13">
        <f t="shared" si="20"/>
        <v>26.001589129774786</v>
      </c>
      <c r="AE57" s="13">
        <f t="shared" si="20"/>
        <v>24.334978330185294</v>
      </c>
      <c r="AF57" s="13">
        <f t="shared" si="20"/>
        <v>22.589186564874566</v>
      </c>
      <c r="AG57" s="13">
        <f t="shared" si="20"/>
        <v>20.761316257076047</v>
      </c>
      <c r="AH57" s="13">
        <f t="shared" si="20"/>
        <v>20.013952074329978</v>
      </c>
    </row>
    <row r="58" spans="1:34" x14ac:dyDescent="0.3">
      <c r="A58" t="s">
        <v>7</v>
      </c>
      <c r="B58" s="7">
        <v>0.1</v>
      </c>
      <c r="D58" t="s">
        <v>176</v>
      </c>
      <c r="E58" s="93">
        <f>$D$57+NPV($B$58,$E$57:E57)</f>
        <v>-712.22000909090912</v>
      </c>
      <c r="F58" s="93">
        <f>$D$57+NPV($B$58,$E$57:F57)</f>
        <v>1031.7364020661157</v>
      </c>
      <c r="G58" s="93">
        <f>$D$57+NPV($B$58,$E$57:G57)</f>
        <v>1090.4935247407961</v>
      </c>
      <c r="H58" s="93">
        <f>$D$57+NPV($B$58,$E$57:H57)</f>
        <v>1133.9160766520044</v>
      </c>
      <c r="I58" s="93">
        <f>$D$57+NPV($B$58,$E$57:I57)</f>
        <v>1173.0814731072992</v>
      </c>
      <c r="J58" s="93">
        <f>$D$57+NPV($B$58,$E$57:J57)</f>
        <v>1203.8493782844121</v>
      </c>
      <c r="K58" s="93">
        <f>$D$57+NPV($B$58,$E$57:K57)</f>
        <v>1227.3902100062301</v>
      </c>
      <c r="L58" s="93">
        <f>$D$57+NPV($B$58,$E$57:L57)</f>
        <v>1248.508254790253</v>
      </c>
      <c r="M58" s="93">
        <f>$D$57+NPV($B$58,$E$57:M57)</f>
        <v>1267.4330432903575</v>
      </c>
      <c r="N58" s="93">
        <f>$D$57+NPV($B$58,$E$57:N57)</f>
        <v>1284.3732879537552</v>
      </c>
      <c r="O58" s="93">
        <f>$D$57+NPV($B$58,$E$57:O57)</f>
        <v>1299.5187263791572</v>
      </c>
      <c r="P58" s="93">
        <f>$D$57+NPV($B$58,$E$57:P57)</f>
        <v>1313.0418035014613</v>
      </c>
      <c r="Q58" s="93">
        <f>$D$57+NPV($B$58,$E$57:Q57)</f>
        <v>1325.0992066209124</v>
      </c>
      <c r="R58" s="93">
        <f>$D$57+NPV($B$58,$E$57:R57)</f>
        <v>1335.833266075851</v>
      </c>
      <c r="S58" s="93">
        <f>$D$57+NPV($B$58,$E$57:S57)</f>
        <v>1254.9787954038188</v>
      </c>
      <c r="T58" s="93">
        <f>$D$57+NPV($B$58,$E$57:T57)</f>
        <v>1271.2418369395436</v>
      </c>
      <c r="U58" s="93">
        <f>$D$57+NPV($B$58,$E$57:U57)</f>
        <v>1282.9892373665275</v>
      </c>
      <c r="V58" s="93">
        <f>$D$57+NPV($B$58,$E$57:V57)</f>
        <v>1291.9251130104458</v>
      </c>
      <c r="W58" s="93">
        <f>$D$57+NPV($B$58,$E$57:W57)</f>
        <v>1299.864352876104</v>
      </c>
      <c r="X58" s="93">
        <f>$D$57+NPV($B$58,$E$57:X57)</f>
        <v>1305.9499325509973</v>
      </c>
      <c r="Y58" s="93">
        <f>$D$57+NPV($B$58,$E$57:Y57)</f>
        <v>1310.4419558576906</v>
      </c>
      <c r="Z58" s="93">
        <f>$D$57+NPV($B$58,$E$57:Z57)</f>
        <v>1314.3645544791525</v>
      </c>
      <c r="AA58" s="93">
        <f>$D$57+NPV($B$58,$E$57:AA57)</f>
        <v>1317.7767640488028</v>
      </c>
      <c r="AB58" s="93">
        <f>$D$57+NPV($B$58,$E$57:AB57)</f>
        <v>1320.7320121449511</v>
      </c>
      <c r="AC58" s="93">
        <f>$D$57+NPV($B$58,$E$57:AC57)</f>
        <v>1323.2786271851355</v>
      </c>
      <c r="AD58" s="93">
        <f>$D$57+NPV($B$58,$E$57:AD57)</f>
        <v>1325.4603022968831</v>
      </c>
      <c r="AE58" s="93">
        <f>$D$57+NPV($B$58,$E$57:AE57)</f>
        <v>1327.3165180949009</v>
      </c>
      <c r="AF58" s="93">
        <f>$D$57+NPV($B$58,$E$57:AF57)</f>
        <v>1328.8829279536635</v>
      </c>
      <c r="AG58" s="93">
        <f>$D$57+NPV($B$58,$E$57:AG57)</f>
        <v>1330.1917090529164</v>
      </c>
      <c r="AH58" s="93">
        <f>$D$57+NPV($B$58,$E$57:AH57)</f>
        <v>1331.338679692135</v>
      </c>
    </row>
    <row r="59" spans="1:34" x14ac:dyDescent="0.3">
      <c r="A59" t="s">
        <v>175</v>
      </c>
      <c r="B59" s="13">
        <f>K58</f>
        <v>1227.3902100062301</v>
      </c>
    </row>
    <row r="60" spans="1:34" x14ac:dyDescent="0.3">
      <c r="A60" t="s">
        <v>177</v>
      </c>
      <c r="B60" s="33">
        <f>X58</f>
        <v>1305.9499325509973</v>
      </c>
    </row>
    <row r="61" spans="1:34" x14ac:dyDescent="0.3">
      <c r="A61" t="s">
        <v>179</v>
      </c>
      <c r="B61" s="13">
        <f>AH58</f>
        <v>1331.338679692135</v>
      </c>
    </row>
    <row r="62" spans="1:34" x14ac:dyDescent="0.3">
      <c r="A62" t="s">
        <v>265</v>
      </c>
      <c r="B62" s="1">
        <f>IRR(D57:X57, 0.08)</f>
        <v>0.65059558706409959</v>
      </c>
    </row>
    <row r="63" spans="1:34" x14ac:dyDescent="0.3">
      <c r="A63" t="s">
        <v>266</v>
      </c>
      <c r="B63" s="1">
        <f>IRR(D57:AH57, 0.08)</f>
        <v>0.65059742088491679</v>
      </c>
    </row>
    <row r="66" spans="1:34" s="13" customFormat="1" x14ac:dyDescent="0.3"/>
    <row r="68" spans="1:34" s="71" customFormat="1" x14ac:dyDescent="0.3">
      <c r="A68" s="71" t="s">
        <v>267</v>
      </c>
      <c r="E68" s="71">
        <f>IF(E16&lt;($B$11+1),E32/E54,"")</f>
        <v>0.6033095971563982</v>
      </c>
      <c r="F68" s="71">
        <f t="shared" ref="F68:AH68" si="21">IF(F16&lt;($B$11+1),F32/F54,"")</f>
        <v>2.5582753759398491</v>
      </c>
      <c r="G68" s="71">
        <f t="shared" si="21"/>
        <v>2.2637470221410818</v>
      </c>
      <c r="H68" s="71">
        <f t="shared" si="21"/>
        <v>2.1606982191845603</v>
      </c>
      <c r="I68" s="71">
        <f t="shared" si="21"/>
        <v>2.1185628172570263</v>
      </c>
      <c r="J68" s="71">
        <f t="shared" si="21"/>
        <v>2.0773403379625481</v>
      </c>
      <c r="K68" s="71">
        <f t="shared" si="21"/>
        <v>2.0370073454405935</v>
      </c>
      <c r="L68" s="71">
        <f t="shared" si="21"/>
        <v>1.9975410836129013</v>
      </c>
      <c r="M68" s="71">
        <f t="shared" si="21"/>
        <v>1.9589194553024833</v>
      </c>
      <c r="N68" s="71">
        <f t="shared" si="21"/>
        <v>1.9211210020065097</v>
      </c>
      <c r="O68" s="71">
        <f t="shared" si="21"/>
        <v>1.8841248843025364</v>
      </c>
      <c r="P68" s="71">
        <f t="shared" si="21"/>
        <v>1.8479108628681746</v>
      </c>
      <c r="Q68" s="71">
        <f t="shared" si="21"/>
        <v>1.8124592800949322</v>
      </c>
      <c r="R68" s="71">
        <f t="shared" si="21"/>
        <v>1.7777510422775409</v>
      </c>
      <c r="S68" s="71">
        <f t="shared" si="21"/>
        <v>1.7437676023607172</v>
      </c>
      <c r="T68" s="71">
        <f t="shared" si="21"/>
        <v>1.7104909432257911</v>
      </c>
      <c r="U68" s="71">
        <f t="shared" si="21"/>
        <v>1.6779035615002871</v>
      </c>
      <c r="V68" s="71">
        <f t="shared" si="21"/>
        <v>1.6459884518739736</v>
      </c>
      <c r="W68" s="71">
        <f t="shared" si="21"/>
        <v>1.6147290919054951</v>
      </c>
      <c r="X68" s="71">
        <f t="shared" si="21"/>
        <v>1.5841094273041445</v>
      </c>
      <c r="Y68" s="71">
        <f t="shared" si="21"/>
        <v>1.5541138576718465</v>
      </c>
      <c r="Z68" s="71">
        <f t="shared" si="21"/>
        <v>1.5247272226908846</v>
      </c>
      <c r="AA68" s="71">
        <f t="shared" si="21"/>
        <v>1.4959347887433501</v>
      </c>
      <c r="AB68" s="71">
        <f t="shared" si="21"/>
        <v>1.4677222359487492</v>
      </c>
      <c r="AC68" s="71">
        <f t="shared" si="21"/>
        <v>1.4400756456066053</v>
      </c>
      <c r="AD68" s="71" t="str">
        <f t="shared" si="21"/>
        <v/>
      </c>
      <c r="AE68" s="71" t="str">
        <f t="shared" si="21"/>
        <v/>
      </c>
      <c r="AF68" s="71" t="str">
        <f t="shared" si="21"/>
        <v/>
      </c>
      <c r="AG68" s="71" t="str">
        <f t="shared" si="21"/>
        <v/>
      </c>
      <c r="AH68" s="71" t="str">
        <f t="shared" si="21"/>
        <v/>
      </c>
    </row>
    <row r="73" spans="1:34" x14ac:dyDescent="0.3">
      <c r="C73" t="s">
        <v>268</v>
      </c>
    </row>
    <row r="74" spans="1:34" x14ac:dyDescent="0.3">
      <c r="A74" s="122"/>
      <c r="B74" s="122">
        <v>0.14419999999999999</v>
      </c>
      <c r="C74" t="s">
        <v>94</v>
      </c>
    </row>
    <row r="75" spans="1:34" x14ac:dyDescent="0.3">
      <c r="A75" s="122"/>
      <c r="B75" s="122">
        <v>0.16500000000000001</v>
      </c>
      <c r="C75" t="s">
        <v>269</v>
      </c>
    </row>
    <row r="76" spans="1:34" x14ac:dyDescent="0.3">
      <c r="A76" s="122"/>
      <c r="B76" s="122">
        <v>0.13400000000000001</v>
      </c>
      <c r="C76" t="s">
        <v>270</v>
      </c>
    </row>
    <row r="77" spans="1:34" x14ac:dyDescent="0.3">
      <c r="A77" s="122"/>
      <c r="B77" s="122">
        <v>0.2</v>
      </c>
      <c r="C77" t="s">
        <v>271</v>
      </c>
    </row>
    <row r="83" spans="1:1" x14ac:dyDescent="0.3">
      <c r="A83" t="s">
        <v>272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53E0-79A7-40AF-8EF4-D9021AA63399}">
  <dimension ref="A1:C16"/>
  <sheetViews>
    <sheetView topLeftCell="A4" workbookViewId="0">
      <selection activeCell="B10" sqref="B10"/>
    </sheetView>
  </sheetViews>
  <sheetFormatPr defaultRowHeight="14.4" x14ac:dyDescent="0.3"/>
  <cols>
    <col min="1" max="1" width="21.33203125" customWidth="1"/>
    <col min="2" max="2" width="108.109375" style="32" customWidth="1"/>
  </cols>
  <sheetData>
    <row r="1" spans="1:3" x14ac:dyDescent="0.3">
      <c r="B1" s="102" t="s">
        <v>211</v>
      </c>
    </row>
    <row r="3" spans="1:3" x14ac:dyDescent="0.3">
      <c r="B3" s="32" t="s">
        <v>212</v>
      </c>
    </row>
    <row r="4" spans="1:3" ht="28.8" x14ac:dyDescent="0.3">
      <c r="B4" s="32" t="s">
        <v>213</v>
      </c>
    </row>
    <row r="5" spans="1:3" x14ac:dyDescent="0.3">
      <c r="B5" s="32" t="s">
        <v>214</v>
      </c>
    </row>
    <row r="6" spans="1:3" ht="43.2" x14ac:dyDescent="0.3">
      <c r="B6" s="32" t="s">
        <v>215</v>
      </c>
    </row>
    <row r="7" spans="1:3" ht="57.6" x14ac:dyDescent="0.3">
      <c r="B7" s="32" t="s">
        <v>216</v>
      </c>
    </row>
    <row r="8" spans="1:3" x14ac:dyDescent="0.3">
      <c r="B8" s="32" t="s">
        <v>217</v>
      </c>
    </row>
    <row r="9" spans="1:3" ht="28.8" x14ac:dyDescent="0.3">
      <c r="B9" s="32" t="s">
        <v>230</v>
      </c>
    </row>
    <row r="10" spans="1:3" ht="28.8" x14ac:dyDescent="0.3">
      <c r="B10" s="32" t="s">
        <v>218</v>
      </c>
    </row>
    <row r="11" spans="1:3" ht="28.8" x14ac:dyDescent="0.3">
      <c r="B11" s="32" t="s">
        <v>227</v>
      </c>
    </row>
    <row r="12" spans="1:3" ht="43.2" x14ac:dyDescent="0.3">
      <c r="B12" s="32" t="s">
        <v>219</v>
      </c>
    </row>
    <row r="15" spans="1:3" ht="28.8" x14ac:dyDescent="0.3">
      <c r="A15" s="101" t="s">
        <v>220</v>
      </c>
      <c r="B15" s="37"/>
      <c r="C15" s="103"/>
    </row>
    <row r="16" spans="1:3" x14ac:dyDescent="0.3">
      <c r="A16" s="37" t="s">
        <v>24</v>
      </c>
      <c r="B16" s="37"/>
      <c r="C16" s="10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703F-3AF4-4343-898F-D90D06B5E6C6}">
  <sheetPr>
    <tabColor rgb="FFFFC000"/>
    <pageSetUpPr fitToPage="1"/>
  </sheetPr>
  <dimension ref="A1:A20"/>
  <sheetViews>
    <sheetView workbookViewId="0">
      <selection activeCell="A12" sqref="A12"/>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201</v>
      </c>
    </row>
    <row r="2" spans="1:1" x14ac:dyDescent="0.3">
      <c r="A2" s="58" t="s">
        <v>53</v>
      </c>
    </row>
    <row r="3" spans="1:1" x14ac:dyDescent="0.3">
      <c r="A3" s="58" t="s">
        <v>12</v>
      </c>
    </row>
    <row r="4" spans="1:1" x14ac:dyDescent="0.3">
      <c r="A4" s="57" t="s">
        <v>13</v>
      </c>
    </row>
    <row r="5" spans="1:1" x14ac:dyDescent="0.3">
      <c r="A5" s="57" t="s">
        <v>14</v>
      </c>
    </row>
    <row r="6" spans="1:1" x14ac:dyDescent="0.3">
      <c r="A6" s="57" t="s">
        <v>108</v>
      </c>
    </row>
    <row r="7" spans="1:1" x14ac:dyDescent="0.3">
      <c r="A7" s="57" t="s">
        <v>196</v>
      </c>
    </row>
    <row r="8" spans="1:1" x14ac:dyDescent="0.3">
      <c r="A8" s="57" t="s">
        <v>180</v>
      </c>
    </row>
    <row r="9" spans="1:1" x14ac:dyDescent="0.3">
      <c r="A9" s="57"/>
    </row>
    <row r="10" spans="1:1" x14ac:dyDescent="0.3">
      <c r="A10" s="59" t="s">
        <v>232</v>
      </c>
    </row>
    <row r="11" spans="1:1" x14ac:dyDescent="0.3">
      <c r="A11" s="59" t="s">
        <v>54</v>
      </c>
    </row>
    <row r="12" spans="1:1" x14ac:dyDescent="0.3">
      <c r="A12" s="59" t="s">
        <v>235</v>
      </c>
    </row>
    <row r="13" spans="1:1" ht="30.75" customHeight="1" x14ac:dyDescent="0.3">
      <c r="A13" s="64" t="s">
        <v>197</v>
      </c>
    </row>
    <row r="14" spans="1:1" ht="22.95" customHeight="1" x14ac:dyDescent="0.3">
      <c r="A14" s="65" t="s">
        <v>233</v>
      </c>
    </row>
    <row r="15" spans="1:1" ht="28.8" x14ac:dyDescent="0.3">
      <c r="A15" s="60" t="s">
        <v>234</v>
      </c>
    </row>
    <row r="16" spans="1:1" x14ac:dyDescent="0.3">
      <c r="A16" s="60" t="s">
        <v>181</v>
      </c>
    </row>
    <row r="17" spans="1:1" x14ac:dyDescent="0.3">
      <c r="A17" s="61" t="s">
        <v>198</v>
      </c>
    </row>
    <row r="18" spans="1:1" x14ac:dyDescent="0.3">
      <c r="A18" s="57" t="s">
        <v>199</v>
      </c>
    </row>
    <row r="19" spans="1:1" ht="23.4" customHeight="1" thickBot="1" x14ac:dyDescent="0.35">
      <c r="A19" s="110"/>
    </row>
    <row r="20" spans="1:1" ht="15" thickTop="1" x14ac:dyDescent="0.3"/>
  </sheetData>
  <pageMargins left="0.7" right="0.7"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FA9A-2CB6-469A-B836-73CDC7EB8EB1}">
  <dimension ref="A1:V71"/>
  <sheetViews>
    <sheetView topLeftCell="A27" workbookViewId="0">
      <selection activeCell="B25" sqref="B25"/>
    </sheetView>
  </sheetViews>
  <sheetFormatPr defaultRowHeight="14.4" x14ac:dyDescent="0.3"/>
  <cols>
    <col min="1" max="1" width="64.6640625" customWidth="1"/>
    <col min="2" max="2" width="56" customWidth="1"/>
    <col min="3" max="3" width="11.33203125" customWidth="1"/>
    <col min="5" max="6" width="12.33203125" customWidth="1"/>
    <col min="7" max="7" width="9.88671875" bestFit="1" customWidth="1"/>
    <col min="14" max="14" width="12" customWidth="1"/>
  </cols>
  <sheetData>
    <row r="1" spans="1:14" ht="15" thickBot="1" x14ac:dyDescent="0.35">
      <c r="A1" t="s">
        <v>203</v>
      </c>
      <c r="B1" s="109"/>
    </row>
    <row r="2" spans="1:14" ht="15.6" thickTop="1" thickBot="1" x14ac:dyDescent="0.35">
      <c r="A2" s="40" t="s">
        <v>117</v>
      </c>
      <c r="B2" s="4"/>
      <c r="E2" s="146" t="s">
        <v>120</v>
      </c>
      <c r="F2" s="147"/>
      <c r="G2" s="148"/>
    </row>
    <row r="3" spans="1:14" ht="15" thickTop="1" x14ac:dyDescent="0.3">
      <c r="A3" t="s">
        <v>130</v>
      </c>
      <c r="B3" s="31" t="s">
        <v>131</v>
      </c>
      <c r="E3" s="70" t="s">
        <v>118</v>
      </c>
      <c r="F3" s="71">
        <f>B4*A22/B18</f>
        <v>17.4627595121773</v>
      </c>
      <c r="G3" s="72" t="s">
        <v>127</v>
      </c>
      <c r="H3" t="s">
        <v>208</v>
      </c>
    </row>
    <row r="4" spans="1:14" x14ac:dyDescent="0.3">
      <c r="A4" t="s">
        <v>25</v>
      </c>
      <c r="B4" s="2">
        <v>2500</v>
      </c>
      <c r="C4" t="s">
        <v>26</v>
      </c>
      <c r="E4" s="70" t="s">
        <v>119</v>
      </c>
      <c r="F4" s="71">
        <f>B19/100000</f>
        <v>2.5704041433092191</v>
      </c>
      <c r="G4" s="72" t="s">
        <v>127</v>
      </c>
    </row>
    <row r="5" spans="1:14" x14ac:dyDescent="0.3">
      <c r="A5" t="s">
        <v>202</v>
      </c>
      <c r="B5" s="76">
        <f>0.4*B4</f>
        <v>1000</v>
      </c>
      <c r="C5" t="s">
        <v>26</v>
      </c>
      <c r="E5" s="70" t="s">
        <v>122</v>
      </c>
      <c r="F5" s="71"/>
      <c r="G5" s="72" t="s">
        <v>125</v>
      </c>
      <c r="L5" s="1"/>
    </row>
    <row r="6" spans="1:14" x14ac:dyDescent="0.3">
      <c r="A6" t="s">
        <v>228</v>
      </c>
      <c r="B6" s="76">
        <f>0.15*B4</f>
        <v>375</v>
      </c>
      <c r="C6" t="s">
        <v>26</v>
      </c>
      <c r="E6" s="70" t="s">
        <v>121</v>
      </c>
      <c r="F6" s="71"/>
      <c r="G6" s="72">
        <v>1</v>
      </c>
    </row>
    <row r="7" spans="1:14" x14ac:dyDescent="0.3">
      <c r="B7" s="10"/>
      <c r="E7" s="70" t="s">
        <v>123</v>
      </c>
      <c r="F7" s="71"/>
      <c r="G7" s="72">
        <v>1</v>
      </c>
    </row>
    <row r="8" spans="1:14" x14ac:dyDescent="0.3">
      <c r="B8" s="8"/>
      <c r="E8" s="70" t="s">
        <v>124</v>
      </c>
      <c r="F8" s="71"/>
      <c r="G8" s="72">
        <v>1.5</v>
      </c>
      <c r="N8" s="1"/>
    </row>
    <row r="9" spans="1:14" x14ac:dyDescent="0.3">
      <c r="A9" t="s">
        <v>224</v>
      </c>
      <c r="B9" s="2">
        <v>375</v>
      </c>
      <c r="C9" t="s">
        <v>26</v>
      </c>
      <c r="E9" s="70"/>
      <c r="G9" s="72"/>
    </row>
    <row r="10" spans="1:14" ht="15" thickBot="1" x14ac:dyDescent="0.35">
      <c r="B10" s="10" t="str">
        <f>IF(B9&lt;0.15*B4, "Insufficient capacity for Low Income Subscribers",IF(B9&gt;C10*B4/100, "OK, but the Subscription incentive limited by " &amp; C10 &amp; "% or (" &amp; C10*B4/100 &amp; ") kW-dc",""))</f>
        <v/>
      </c>
      <c r="C10" s="77">
        <v>51</v>
      </c>
      <c r="D10" s="79" t="s">
        <v>134</v>
      </c>
      <c r="E10" s="73" t="s">
        <v>67</v>
      </c>
      <c r="F10" s="74">
        <f>SUM(F3:F8)</f>
        <v>20.033163655486518</v>
      </c>
      <c r="G10" s="75"/>
    </row>
    <row r="11" spans="1:14" ht="15" thickTop="1" x14ac:dyDescent="0.3">
      <c r="A11" t="s">
        <v>27</v>
      </c>
      <c r="B11" s="30">
        <v>0.02</v>
      </c>
    </row>
    <row r="12" spans="1:14" x14ac:dyDescent="0.3">
      <c r="A12" t="s">
        <v>204</v>
      </c>
      <c r="B12" s="16">
        <v>2.9000000000000001E-2</v>
      </c>
    </row>
    <row r="13" spans="1:14" x14ac:dyDescent="0.3">
      <c r="A13" t="s">
        <v>0</v>
      </c>
      <c r="B13" s="16">
        <v>0.1</v>
      </c>
    </row>
    <row r="14" spans="1:14" x14ac:dyDescent="0.3">
      <c r="B14" s="1"/>
    </row>
    <row r="16" spans="1:14" x14ac:dyDescent="0.3">
      <c r="A16" t="s">
        <v>229</v>
      </c>
      <c r="B16" s="66">
        <f>IF(B9&lt;0.15*B4,0,IF(B9&lt;0.51*B4,-A23*A54, -0.51*B4*A22*A54))</f>
        <v>192838.93806427001</v>
      </c>
      <c r="C16" s="13"/>
      <c r="E16" s="123"/>
      <c r="F16" s="8"/>
      <c r="G16" s="13"/>
    </row>
    <row r="17" spans="1:22" ht="15" thickBot="1" x14ac:dyDescent="0.35">
      <c r="B17" s="78"/>
      <c r="C17" s="13"/>
      <c r="N17" s="33"/>
    </row>
    <row r="18" spans="1:22" ht="15.6" thickTop="1" thickBot="1" x14ac:dyDescent="0.35">
      <c r="A18" t="s">
        <v>283</v>
      </c>
      <c r="B18" s="45">
        <f>IF(B16&lt;=1000000,B16,1000000)</f>
        <v>192838.93806427001</v>
      </c>
      <c r="C18" s="88"/>
      <c r="D18" s="13"/>
      <c r="E18" s="13">
        <f>B18*1.2</f>
        <v>231406.72567712402</v>
      </c>
      <c r="F18" s="8"/>
      <c r="G18" s="89"/>
    </row>
    <row r="19" spans="1:22" ht="15.6" thickTop="1" thickBot="1" x14ac:dyDescent="0.35">
      <c r="A19" t="s">
        <v>209</v>
      </c>
      <c r="B19" s="44">
        <f>-B9*A22*A53/100</f>
        <v>257040.41433092192</v>
      </c>
      <c r="D19" s="71">
        <f>B19/B18</f>
        <v>1.3329279704146402</v>
      </c>
      <c r="G19" s="8"/>
    </row>
    <row r="20" spans="1:22" ht="15" thickTop="1" x14ac:dyDescent="0.3">
      <c r="A20" t="s">
        <v>200</v>
      </c>
      <c r="B20" s="8">
        <f>-B9*A22*A51/100</f>
        <v>582977.42368471972</v>
      </c>
      <c r="D20" s="71">
        <f>B20/B18</f>
        <v>3.0231312697356953</v>
      </c>
    </row>
    <row r="21" spans="1:22" x14ac:dyDescent="0.3">
      <c r="A21" t="s">
        <v>1</v>
      </c>
      <c r="L21" s="9"/>
    </row>
    <row r="22" spans="1:22" x14ac:dyDescent="0.3">
      <c r="A22" s="2">
        <v>1347</v>
      </c>
      <c r="B22" t="s">
        <v>43</v>
      </c>
      <c r="L22" s="9"/>
    </row>
    <row r="23" spans="1:22" x14ac:dyDescent="0.3">
      <c r="A23" s="3">
        <f>A22*MIN(B9,C10*B4/100)</f>
        <v>505125</v>
      </c>
      <c r="B23" t="s">
        <v>133</v>
      </c>
    </row>
    <row r="29" spans="1:22" x14ac:dyDescent="0.3">
      <c r="G29" s="10"/>
    </row>
    <row r="30" spans="1:22" x14ac:dyDescent="0.3">
      <c r="A30" t="s">
        <v>9</v>
      </c>
      <c r="C30" t="s">
        <v>2</v>
      </c>
    </row>
    <row r="31" spans="1:22" x14ac:dyDescent="0.3">
      <c r="A31" t="s">
        <v>284</v>
      </c>
      <c r="C31" t="s">
        <v>3</v>
      </c>
    </row>
    <row r="32" spans="1:22" x14ac:dyDescent="0.3">
      <c r="A32" s="21" t="s">
        <v>10</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3">
      <c r="A33" s="5">
        <f>B11</f>
        <v>0.02</v>
      </c>
      <c r="B33" t="s">
        <v>4</v>
      </c>
      <c r="C33" s="12">
        <f>C47</f>
        <v>19</v>
      </c>
      <c r="D33" s="11">
        <f>$C33*(1+$A33)^D$32</f>
        <v>19.38</v>
      </c>
      <c r="E33" s="11">
        <f t="shared" ref="E33:V34" si="1">$C33*(1+$A33)^E$32</f>
        <v>19.767600000000002</v>
      </c>
      <c r="F33" s="11">
        <f t="shared" si="1"/>
        <v>20.162951999999997</v>
      </c>
      <c r="G33" s="11">
        <f t="shared" si="1"/>
        <v>20.566211039999999</v>
      </c>
      <c r="H33" s="11">
        <f t="shared" si="1"/>
        <v>20.9775352608</v>
      </c>
      <c r="I33" s="11">
        <f t="shared" si="1"/>
        <v>21.397085966016</v>
      </c>
      <c r="J33" s="11">
        <f t="shared" si="1"/>
        <v>21.825027685336316</v>
      </c>
      <c r="K33" s="11">
        <f>$C33*(1+$A33)^K$32</f>
        <v>22.261528239043045</v>
      </c>
      <c r="L33" s="11">
        <f>$C33*(1+$A33)^L$32</f>
        <v>22.706758803823906</v>
      </c>
      <c r="M33" s="11">
        <f t="shared" si="1"/>
        <v>23.160893979900386</v>
      </c>
      <c r="N33" s="11">
        <f t="shared" si="1"/>
        <v>23.624111859498388</v>
      </c>
      <c r="O33" s="11">
        <f t="shared" si="1"/>
        <v>24.09659409668836</v>
      </c>
      <c r="P33" s="11">
        <f t="shared" si="1"/>
        <v>24.578525978622125</v>
      </c>
      <c r="Q33" s="11">
        <f t="shared" si="1"/>
        <v>25.07009649819457</v>
      </c>
      <c r="R33" s="11">
        <f t="shared" si="1"/>
        <v>25.571498428158456</v>
      </c>
      <c r="S33" s="11">
        <f t="shared" si="1"/>
        <v>26.082928396721627</v>
      </c>
      <c r="T33" s="11">
        <f t="shared" si="1"/>
        <v>26.604586964656065</v>
      </c>
      <c r="U33" s="11">
        <f t="shared" si="1"/>
        <v>27.136678703949183</v>
      </c>
      <c r="V33" s="11">
        <f t="shared" si="1"/>
        <v>27.679412278028163</v>
      </c>
    </row>
    <row r="34" spans="1:22" x14ac:dyDescent="0.3">
      <c r="A34" s="5">
        <f>B12</f>
        <v>2.9000000000000001E-2</v>
      </c>
      <c r="B34" t="s">
        <v>5</v>
      </c>
      <c r="C34" s="12">
        <f>C33*(0.88)</f>
        <v>16.72</v>
      </c>
      <c r="D34" s="11">
        <f>$C34*(1+$A34)^D$32</f>
        <v>17.204879999999996</v>
      </c>
      <c r="E34" s="11">
        <f t="shared" si="1"/>
        <v>17.703821519999998</v>
      </c>
      <c r="F34" s="11">
        <f t="shared" si="1"/>
        <v>18.217232344079996</v>
      </c>
      <c r="G34" s="11">
        <f t="shared" si="1"/>
        <v>18.745532082058315</v>
      </c>
      <c r="H34" s="11">
        <f t="shared" si="1"/>
        <v>19.289152512438005</v>
      </c>
      <c r="I34" s="11">
        <f t="shared" si="1"/>
        <v>19.848537935298705</v>
      </c>
      <c r="J34" s="11">
        <f t="shared" si="1"/>
        <v>20.424145535422369</v>
      </c>
      <c r="K34" s="11">
        <f>$C34*(1+$A34)^K$32</f>
        <v>21.016445755949619</v>
      </c>
      <c r="L34" s="11">
        <f>$C34*(1+$A34)^L$32</f>
        <v>21.625922682872154</v>
      </c>
      <c r="M34" s="11">
        <f t="shared" si="1"/>
        <v>22.253074440675448</v>
      </c>
      <c r="N34" s="11">
        <f t="shared" si="1"/>
        <v>22.898413599455033</v>
      </c>
      <c r="O34" s="11">
        <f t="shared" si="1"/>
        <v>23.562467593839227</v>
      </c>
      <c r="P34" s="11">
        <f t="shared" si="1"/>
        <v>24.245779154060564</v>
      </c>
      <c r="Q34" s="11">
        <f t="shared" si="1"/>
        <v>24.948906749528319</v>
      </c>
      <c r="R34" s="11">
        <f t="shared" si="1"/>
        <v>25.672425045264642</v>
      </c>
      <c r="S34" s="11">
        <f t="shared" si="1"/>
        <v>26.416925371577314</v>
      </c>
      <c r="T34" s="11">
        <f t="shared" si="1"/>
        <v>27.183016207353056</v>
      </c>
      <c r="U34" s="11">
        <f t="shared" si="1"/>
        <v>27.971323677366293</v>
      </c>
      <c r="V34" s="11">
        <f t="shared" si="1"/>
        <v>28.782492064009915</v>
      </c>
    </row>
    <row r="36" spans="1:22" x14ac:dyDescent="0.3">
      <c r="A36" s="11">
        <f>SUM(C36:V36)</f>
        <v>-16.919531908187622</v>
      </c>
      <c r="B36" s="11" t="s">
        <v>8</v>
      </c>
      <c r="C36" s="11">
        <f>C34-C33</f>
        <v>-2.2800000000000011</v>
      </c>
      <c r="D36" s="11">
        <f>D34-D33</f>
        <v>-2.1751200000000033</v>
      </c>
      <c r="E36" s="11">
        <f t="shared" ref="E36:V36" si="2">E34-E33</f>
        <v>-2.0637784800000034</v>
      </c>
      <c r="F36" s="11">
        <f t="shared" si="2"/>
        <v>-1.9457196559200014</v>
      </c>
      <c r="G36" s="11">
        <f t="shared" si="2"/>
        <v>-1.8206789579416842</v>
      </c>
      <c r="H36" s="11">
        <f t="shared" si="2"/>
        <v>-1.6883827483619953</v>
      </c>
      <c r="I36" s="11">
        <f t="shared" si="2"/>
        <v>-1.5485480307172956</v>
      </c>
      <c r="J36" s="11">
        <f t="shared" si="2"/>
        <v>-1.4008821499139472</v>
      </c>
      <c r="K36" s="11">
        <f t="shared" si="2"/>
        <v>-1.2450824830934266</v>
      </c>
      <c r="L36" s="11">
        <f t="shared" si="2"/>
        <v>-1.0808361209517514</v>
      </c>
      <c r="M36" s="11">
        <f t="shared" si="2"/>
        <v>-0.90781953922493841</v>
      </c>
      <c r="N36" s="11">
        <f t="shared" si="2"/>
        <v>-0.72569826004335525</v>
      </c>
      <c r="O36" s="11">
        <f t="shared" si="2"/>
        <v>-0.53412650284913354</v>
      </c>
      <c r="P36" s="11">
        <f t="shared" si="2"/>
        <v>-0.33274682456156057</v>
      </c>
      <c r="Q36" s="11">
        <f t="shared" si="2"/>
        <v>-0.1211897486662501</v>
      </c>
      <c r="R36" s="11">
        <f t="shared" si="2"/>
        <v>0.100926617106186</v>
      </c>
      <c r="S36" s="11">
        <f t="shared" si="2"/>
        <v>0.3339969748556868</v>
      </c>
      <c r="T36" s="11">
        <f t="shared" si="2"/>
        <v>0.57842924269699125</v>
      </c>
      <c r="U36" s="11">
        <f t="shared" si="2"/>
        <v>0.83464497341710953</v>
      </c>
      <c r="V36" s="11">
        <f t="shared" si="2"/>
        <v>1.1030797859817518</v>
      </c>
    </row>
    <row r="37" spans="1:22" x14ac:dyDescent="0.3">
      <c r="A37" s="17">
        <f>C37</f>
        <v>0.1</v>
      </c>
      <c r="B37" t="s">
        <v>7</v>
      </c>
      <c r="C37" s="18">
        <f>B13</f>
        <v>0.1</v>
      </c>
    </row>
    <row r="38" spans="1:22" x14ac:dyDescent="0.3">
      <c r="A38" s="14">
        <f>(C36+NPV(A37,D36:V36))</f>
        <v>-12.710017573205025</v>
      </c>
      <c r="B38" t="s">
        <v>110</v>
      </c>
    </row>
    <row r="39" spans="1:22" x14ac:dyDescent="0.3">
      <c r="A39" s="13"/>
    </row>
    <row r="40" spans="1:22" x14ac:dyDescent="0.3">
      <c r="A40" s="13"/>
    </row>
    <row r="44" spans="1:22" x14ac:dyDescent="0.3">
      <c r="A44" t="s">
        <v>6</v>
      </c>
      <c r="C44" t="s">
        <v>2</v>
      </c>
    </row>
    <row r="45" spans="1:22" x14ac:dyDescent="0.3">
      <c r="C45" t="s">
        <v>3</v>
      </c>
    </row>
    <row r="46" spans="1:22" x14ac:dyDescent="0.3">
      <c r="A46" s="20" t="s">
        <v>10</v>
      </c>
      <c r="C46">
        <v>0</v>
      </c>
      <c r="D46">
        <f>C46+1</f>
        <v>1</v>
      </c>
      <c r="E46">
        <f t="shared" ref="E46:V46" si="3">D46+1</f>
        <v>2</v>
      </c>
      <c r="F46">
        <f t="shared" si="3"/>
        <v>3</v>
      </c>
      <c r="G46">
        <f t="shared" si="3"/>
        <v>4</v>
      </c>
      <c r="H46">
        <f t="shared" si="3"/>
        <v>5</v>
      </c>
      <c r="I46">
        <f t="shared" si="3"/>
        <v>6</v>
      </c>
      <c r="J46">
        <f t="shared" si="3"/>
        <v>7</v>
      </c>
      <c r="K46">
        <f>J46+1</f>
        <v>8</v>
      </c>
      <c r="L46">
        <f t="shared" si="3"/>
        <v>9</v>
      </c>
      <c r="M46">
        <f>L46+1</f>
        <v>10</v>
      </c>
      <c r="N46">
        <f t="shared" si="3"/>
        <v>11</v>
      </c>
      <c r="O46">
        <f t="shared" si="3"/>
        <v>12</v>
      </c>
      <c r="P46">
        <f t="shared" si="3"/>
        <v>13</v>
      </c>
      <c r="Q46">
        <f t="shared" si="3"/>
        <v>14</v>
      </c>
      <c r="R46">
        <f t="shared" si="3"/>
        <v>15</v>
      </c>
      <c r="S46">
        <f t="shared" si="3"/>
        <v>16</v>
      </c>
      <c r="T46">
        <f t="shared" si="3"/>
        <v>17</v>
      </c>
      <c r="U46">
        <f t="shared" si="3"/>
        <v>18</v>
      </c>
      <c r="V46">
        <f t="shared" si="3"/>
        <v>19</v>
      </c>
    </row>
    <row r="47" spans="1:22" x14ac:dyDescent="0.3">
      <c r="A47" s="5">
        <f>B11</f>
        <v>0.02</v>
      </c>
      <c r="B47" t="s">
        <v>4</v>
      </c>
      <c r="C47" s="4">
        <v>19</v>
      </c>
      <c r="D47" s="11">
        <f>$C47*(1+$A47)^D$32</f>
        <v>19.38</v>
      </c>
      <c r="E47" s="11">
        <f t="shared" ref="E47:V48" si="4">$C47*(1+$A47)^E$32</f>
        <v>19.767600000000002</v>
      </c>
      <c r="F47" s="11">
        <f t="shared" si="4"/>
        <v>20.162951999999997</v>
      </c>
      <c r="G47" s="11">
        <f t="shared" si="4"/>
        <v>20.566211039999999</v>
      </c>
      <c r="H47" s="11">
        <f t="shared" si="4"/>
        <v>20.9775352608</v>
      </c>
      <c r="I47" s="11">
        <f t="shared" si="4"/>
        <v>21.397085966016</v>
      </c>
      <c r="J47" s="11">
        <f t="shared" si="4"/>
        <v>21.825027685336316</v>
      </c>
      <c r="K47" s="11">
        <f>$C47*(1+$A47)^K$32</f>
        <v>22.261528239043045</v>
      </c>
      <c r="L47" s="11">
        <f>$C47*(1+$A47)^L$32</f>
        <v>22.706758803823906</v>
      </c>
      <c r="M47" s="11">
        <f t="shared" si="4"/>
        <v>23.160893979900386</v>
      </c>
      <c r="N47" s="11">
        <f t="shared" si="4"/>
        <v>23.624111859498388</v>
      </c>
      <c r="O47" s="11">
        <f t="shared" si="4"/>
        <v>24.09659409668836</v>
      </c>
      <c r="P47" s="11">
        <f t="shared" si="4"/>
        <v>24.578525978622125</v>
      </c>
      <c r="Q47" s="11">
        <f t="shared" si="4"/>
        <v>25.07009649819457</v>
      </c>
      <c r="R47" s="11">
        <f t="shared" si="4"/>
        <v>25.571498428158456</v>
      </c>
      <c r="S47" s="11">
        <f t="shared" si="4"/>
        <v>26.082928396721627</v>
      </c>
      <c r="T47" s="11">
        <f t="shared" si="4"/>
        <v>26.604586964656065</v>
      </c>
      <c r="U47" s="11">
        <f t="shared" si="4"/>
        <v>27.136678703949183</v>
      </c>
      <c r="V47" s="11">
        <f t="shared" si="4"/>
        <v>27.679412278028163</v>
      </c>
    </row>
    <row r="48" spans="1:22" x14ac:dyDescent="0.3">
      <c r="A48" s="5">
        <v>0.02</v>
      </c>
      <c r="B48" t="s">
        <v>51</v>
      </c>
      <c r="C48" s="12">
        <f>(1-A50)*C47</f>
        <v>14.25</v>
      </c>
      <c r="D48" s="11">
        <f>$C48*(1+$A48)^D$32</f>
        <v>14.535</v>
      </c>
      <c r="E48" s="11">
        <f>$C48*(1+$A48)^E$32</f>
        <v>14.825699999999999</v>
      </c>
      <c r="F48" s="11">
        <f t="shared" si="4"/>
        <v>15.122214</v>
      </c>
      <c r="G48" s="11">
        <f t="shared" si="4"/>
        <v>15.424658279999999</v>
      </c>
      <c r="H48" s="11">
        <f t="shared" si="4"/>
        <v>15.733151445600001</v>
      </c>
      <c r="I48" s="11">
        <f t="shared" si="4"/>
        <v>16.047814474512002</v>
      </c>
      <c r="J48" s="11">
        <f t="shared" si="4"/>
        <v>16.368770764002239</v>
      </c>
      <c r="K48" s="11">
        <f>$C48*(1+$A48)^K$32</f>
        <v>16.696146179282284</v>
      </c>
      <c r="L48" s="11">
        <f>$C48*(1+$A48)^L$32</f>
        <v>17.03006910286793</v>
      </c>
      <c r="M48" s="11">
        <f t="shared" si="4"/>
        <v>17.370670484925288</v>
      </c>
      <c r="N48" s="11">
        <f t="shared" si="4"/>
        <v>17.718083894623792</v>
      </c>
      <c r="O48" s="11">
        <f t="shared" si="4"/>
        <v>18.072445572516269</v>
      </c>
      <c r="P48" s="11">
        <f t="shared" si="4"/>
        <v>18.433894483966593</v>
      </c>
      <c r="Q48" s="11">
        <f t="shared" si="4"/>
        <v>18.80257237364593</v>
      </c>
      <c r="R48" s="11">
        <f t="shared" si="4"/>
        <v>19.17862382111884</v>
      </c>
      <c r="S48" s="11">
        <f t="shared" si="4"/>
        <v>19.56219629754122</v>
      </c>
      <c r="T48" s="11">
        <f t="shared" si="4"/>
        <v>19.953440223492048</v>
      </c>
      <c r="U48" s="11">
        <f t="shared" si="4"/>
        <v>20.352509027961887</v>
      </c>
      <c r="V48" s="11">
        <f t="shared" si="4"/>
        <v>20.759559208521122</v>
      </c>
    </row>
    <row r="49" spans="1:22" x14ac:dyDescent="0.3">
      <c r="A49" s="1"/>
      <c r="C49" s="12"/>
      <c r="D49" s="11"/>
      <c r="E49" s="11"/>
      <c r="F49" s="11"/>
      <c r="G49" s="11"/>
      <c r="H49" s="11"/>
      <c r="I49" s="11"/>
      <c r="J49" s="11"/>
      <c r="K49" s="11"/>
      <c r="L49" s="11"/>
      <c r="M49" s="11"/>
      <c r="N49" s="11"/>
      <c r="O49" s="11"/>
      <c r="P49" s="11"/>
      <c r="Q49" s="11"/>
      <c r="R49" s="11"/>
      <c r="S49" s="11"/>
      <c r="T49" s="11"/>
      <c r="U49" s="11"/>
      <c r="V49" s="11"/>
    </row>
    <row r="50" spans="1:22" x14ac:dyDescent="0.3">
      <c r="A50" s="7">
        <v>0.25</v>
      </c>
      <c r="B50" t="s">
        <v>28</v>
      </c>
      <c r="C50" s="15"/>
    </row>
    <row r="51" spans="1:22" x14ac:dyDescent="0.3">
      <c r="A51" s="11">
        <f>SUM(C51:V51)</f>
        <v>-115.41250654485914</v>
      </c>
      <c r="B51" s="11" t="s">
        <v>8</v>
      </c>
      <c r="C51" s="11">
        <f>C48-C47</f>
        <v>-4.75</v>
      </c>
      <c r="D51" s="11">
        <f>D48-D47</f>
        <v>-4.8449999999999989</v>
      </c>
      <c r="E51" s="11">
        <f t="shared" ref="E51:V51" si="5">E48-E47</f>
        <v>-4.9419000000000022</v>
      </c>
      <c r="F51" s="11">
        <f t="shared" si="5"/>
        <v>-5.0407379999999975</v>
      </c>
      <c r="G51" s="11">
        <f t="shared" si="5"/>
        <v>-5.1415527599999997</v>
      </c>
      <c r="H51" s="11">
        <f t="shared" si="5"/>
        <v>-5.2443838151999991</v>
      </c>
      <c r="I51" s="11">
        <f t="shared" si="5"/>
        <v>-5.3492714915039983</v>
      </c>
      <c r="J51" s="11">
        <f t="shared" si="5"/>
        <v>-5.4562569213340772</v>
      </c>
      <c r="K51" s="11">
        <f t="shared" si="5"/>
        <v>-5.5653820597607613</v>
      </c>
      <c r="L51" s="11">
        <f t="shared" si="5"/>
        <v>-5.6766897009559756</v>
      </c>
      <c r="M51" s="11">
        <f t="shared" si="5"/>
        <v>-5.7902234949750984</v>
      </c>
      <c r="N51" s="11">
        <f t="shared" si="5"/>
        <v>-5.9060279648745961</v>
      </c>
      <c r="O51" s="11">
        <f t="shared" si="5"/>
        <v>-6.0241485241720909</v>
      </c>
      <c r="P51" s="11">
        <f t="shared" si="5"/>
        <v>-6.1446314946555312</v>
      </c>
      <c r="Q51" s="11">
        <f t="shared" si="5"/>
        <v>-6.2675241245486397</v>
      </c>
      <c r="R51" s="11">
        <f t="shared" si="5"/>
        <v>-6.3928746070396159</v>
      </c>
      <c r="S51" s="11">
        <f t="shared" si="5"/>
        <v>-6.5207320991804067</v>
      </c>
      <c r="T51" s="11">
        <f t="shared" si="5"/>
        <v>-6.6511467411640162</v>
      </c>
      <c r="U51" s="11">
        <f t="shared" si="5"/>
        <v>-6.7841696759872967</v>
      </c>
      <c r="V51" s="11">
        <f t="shared" si="5"/>
        <v>-6.9198530695070417</v>
      </c>
    </row>
    <row r="52" spans="1:22" x14ac:dyDescent="0.3">
      <c r="A52" s="17">
        <f>A37</f>
        <v>0.1</v>
      </c>
      <c r="B52" t="s">
        <v>7</v>
      </c>
      <c r="C52" s="18">
        <f>B13</f>
        <v>0.1</v>
      </c>
    </row>
    <row r="53" spans="1:22" x14ac:dyDescent="0.3">
      <c r="A53" s="14">
        <f>C51+NPV(A52,D51:V51)</f>
        <v>-50.886496279321342</v>
      </c>
      <c r="B53" t="s">
        <v>109</v>
      </c>
    </row>
    <row r="54" spans="1:22" x14ac:dyDescent="0.3">
      <c r="A54" s="19">
        <f>(A53-A38)/100</f>
        <v>-0.38176478706116312</v>
      </c>
      <c r="B54" t="s">
        <v>126</v>
      </c>
      <c r="G54" s="8"/>
    </row>
    <row r="55" spans="1:22" x14ac:dyDescent="0.3">
      <c r="A55" s="14"/>
      <c r="G55" s="8"/>
    </row>
    <row r="56" spans="1:22" ht="31.5" customHeight="1" x14ac:dyDescent="0.3">
      <c r="A56" s="46"/>
      <c r="G56" s="8"/>
    </row>
    <row r="57" spans="1:22" x14ac:dyDescent="0.3">
      <c r="A57" s="13"/>
      <c r="G57" s="8"/>
    </row>
    <row r="58" spans="1:22" x14ac:dyDescent="0.3">
      <c r="A58" t="s">
        <v>195</v>
      </c>
    </row>
    <row r="59" spans="1:22" x14ac:dyDescent="0.3">
      <c r="A59" t="s">
        <v>107</v>
      </c>
    </row>
    <row r="70" spans="2:2" x14ac:dyDescent="0.3">
      <c r="B70" t="s">
        <v>41</v>
      </c>
    </row>
    <row r="71" spans="2:2" x14ac:dyDescent="0.3">
      <c r="B71" t="s">
        <v>42</v>
      </c>
    </row>
  </sheetData>
  <protectedRanges>
    <protectedRange sqref="C48:V48" name="Outyear PPA Rates"/>
    <protectedRange sqref="A7" name="Number of LMI Subscribers"/>
    <protectedRange sqref="A22" name="kWh ac per kW dc"/>
    <protectedRange sqref="A50" name="Zero Year Rate Below Utility Rate"/>
    <protectedRange sqref="A48" name="PPA Escalation  Rate"/>
    <protectedRange sqref="C47" name="Utility Rate"/>
    <protectedRange sqref="B4" name="Array Capacity   DC"/>
  </protectedRanges>
  <mergeCells count="1">
    <mergeCell ref="E2:G2"/>
  </mergeCells>
  <dataValidations count="4">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2" xr:uid="{3EB271B7-A619-4511-86C7-16E47A319C2B}"/>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640E6A07-F3DC-41E2-ACDE-5CA954BCC0AC}"/>
    <dataValidation type="decimal" allowBlank="1" showInputMessage="1" showErrorMessage="1" error="The value must be between 25% and 100%" sqref="A50" xr:uid="{A9BBFE99-FE02-417E-AC2A-CAACA6192188}">
      <formula1>0.25</formula1>
      <formula2>1</formula2>
    </dataValidation>
    <dataValidation type="list" allowBlank="1" showInputMessage="1" showErrorMessage="1" prompt="YES or NO" sqref="B56" xr:uid="{BE679421-1B94-4417-8EBE-651EC7D4C80A}">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D70D-22C1-48C2-814F-C18DF7867D50}">
  <sheetPr>
    <tabColor rgb="FFFFC000"/>
    <pageSetUpPr fitToPage="1"/>
  </sheetPr>
  <dimension ref="A1:A11"/>
  <sheetViews>
    <sheetView workbookViewId="0">
      <selection activeCell="A19" sqref="A19"/>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207</v>
      </c>
    </row>
    <row r="2" spans="1:1" x14ac:dyDescent="0.3">
      <c r="A2" s="59" t="s">
        <v>231</v>
      </c>
    </row>
    <row r="3" spans="1:1" x14ac:dyDescent="0.3">
      <c r="A3" s="59" t="s">
        <v>54</v>
      </c>
    </row>
    <row r="4" spans="1:1" x14ac:dyDescent="0.3">
      <c r="A4" s="59" t="s">
        <v>237</v>
      </c>
    </row>
    <row r="5" spans="1:1" x14ac:dyDescent="0.3">
      <c r="A5" s="106" t="str">
        <f>"The Landfill Incentive multiplies the size of the array (kW-dc) times the landfill incentive of " &amp; 'AOI-2 Incentive Calc'!B23 &amp; " $/kW-dc."</f>
        <v>The Landfill Incentive multiplies the size of the array (kW-dc) times the landfill incentive of 2000 $/kW-dc.</v>
      </c>
    </row>
    <row r="6" spans="1:1" x14ac:dyDescent="0.3">
      <c r="A6" s="60" t="str">
        <f>"The Interconnection Incentive pays for 75% of the interconnection costs after the first $1,000,000."</f>
        <v>The Interconnection Incentive pays for 75% of the interconnection costs after the first $1,000,000.</v>
      </c>
    </row>
    <row r="7" spans="1:1" x14ac:dyDescent="0.3">
      <c r="A7" s="61" t="s">
        <v>185</v>
      </c>
    </row>
    <row r="8" spans="1:1" x14ac:dyDescent="0.3">
      <c r="A8" s="57"/>
    </row>
    <row r="9" spans="1:1" x14ac:dyDescent="0.3">
      <c r="A9" s="58" t="s">
        <v>225</v>
      </c>
    </row>
    <row r="10" spans="1:1" ht="29.4" thickBot="1" x14ac:dyDescent="0.35">
      <c r="A10" s="111" t="s">
        <v>236</v>
      </c>
    </row>
    <row r="11" spans="1:1" ht="15" thickTop="1" x14ac:dyDescent="0.3"/>
  </sheetData>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664E-0222-41DB-83C5-EE0D90C50ECB}">
  <dimension ref="A1:V47"/>
  <sheetViews>
    <sheetView tabSelected="1" topLeftCell="A3" workbookViewId="0">
      <selection activeCell="B12" sqref="B12"/>
    </sheetView>
  </sheetViews>
  <sheetFormatPr defaultRowHeight="14.4" x14ac:dyDescent="0.3"/>
  <cols>
    <col min="1" max="1" width="63.88671875" customWidth="1"/>
    <col min="2" max="2" width="50.33203125" customWidth="1"/>
    <col min="3" max="3" width="11.33203125" customWidth="1"/>
    <col min="5" max="6" width="12.33203125" customWidth="1"/>
    <col min="7" max="7" width="9.88671875" bestFit="1" customWidth="1"/>
    <col min="14" max="14" width="12" customWidth="1"/>
  </cols>
  <sheetData>
    <row r="1" spans="1:14" ht="15" thickBot="1" x14ac:dyDescent="0.35">
      <c r="A1" t="s">
        <v>132</v>
      </c>
      <c r="B1" s="31"/>
    </row>
    <row r="2" spans="1:14" ht="15.6" thickTop="1" thickBot="1" x14ac:dyDescent="0.35">
      <c r="A2" s="40" t="s">
        <v>117</v>
      </c>
      <c r="B2" s="4"/>
      <c r="E2" s="146" t="s">
        <v>120</v>
      </c>
      <c r="F2" s="147"/>
      <c r="G2" s="148"/>
    </row>
    <row r="3" spans="1:14" ht="15" thickTop="1" x14ac:dyDescent="0.3">
      <c r="A3" t="s">
        <v>130</v>
      </c>
      <c r="B3" s="31" t="s">
        <v>131</v>
      </c>
      <c r="E3" s="70" t="s">
        <v>118</v>
      </c>
      <c r="F3" s="14">
        <f>A21/B13</f>
        <v>0.70045161290322577</v>
      </c>
      <c r="G3" s="72" t="s">
        <v>127</v>
      </c>
    </row>
    <row r="4" spans="1:14" x14ac:dyDescent="0.3">
      <c r="A4" t="s">
        <v>25</v>
      </c>
      <c r="B4" s="2">
        <v>2800</v>
      </c>
      <c r="C4" t="s">
        <v>26</v>
      </c>
      <c r="E4" s="70"/>
      <c r="F4" s="14"/>
      <c r="G4" s="72"/>
    </row>
    <row r="5" spans="1:14" x14ac:dyDescent="0.3">
      <c r="A5" t="s">
        <v>206</v>
      </c>
      <c r="B5" s="83">
        <f>B4</f>
        <v>2800</v>
      </c>
      <c r="C5" t="s">
        <v>26</v>
      </c>
      <c r="E5" s="70"/>
      <c r="F5" s="14"/>
      <c r="G5" s="72"/>
      <c r="L5" s="1"/>
    </row>
    <row r="6" spans="1:14" x14ac:dyDescent="0.3">
      <c r="A6" t="s">
        <v>182</v>
      </c>
      <c r="B6" s="2">
        <v>2000</v>
      </c>
      <c r="C6" t="s">
        <v>183</v>
      </c>
      <c r="E6" s="70"/>
      <c r="F6" s="14"/>
      <c r="G6" s="72"/>
    </row>
    <row r="7" spans="1:14" x14ac:dyDescent="0.3">
      <c r="A7" t="s">
        <v>184</v>
      </c>
      <c r="B7" s="107">
        <f>B4/B6</f>
        <v>1.4</v>
      </c>
      <c r="E7" s="70"/>
      <c r="F7" s="14"/>
      <c r="G7" s="72"/>
    </row>
    <row r="8" spans="1:14" x14ac:dyDescent="0.3">
      <c r="B8" s="8"/>
      <c r="E8" s="70"/>
      <c r="F8" s="14"/>
      <c r="G8" s="72"/>
      <c r="N8" s="1"/>
    </row>
    <row r="9" spans="1:14" x14ac:dyDescent="0.3">
      <c r="A9" t="s">
        <v>135</v>
      </c>
      <c r="B9" s="2">
        <f>B4</f>
        <v>2800</v>
      </c>
      <c r="C9" t="s">
        <v>26</v>
      </c>
      <c r="E9" s="70"/>
      <c r="F9" s="14"/>
      <c r="G9" s="72"/>
    </row>
    <row r="10" spans="1:14" ht="15" thickBot="1" x14ac:dyDescent="0.35">
      <c r="B10" s="90"/>
      <c r="C10" s="97"/>
      <c r="D10" t="s">
        <v>134</v>
      </c>
      <c r="E10" s="73" t="s">
        <v>67</v>
      </c>
      <c r="F10" s="99">
        <f>SUM(F3:F8)</f>
        <v>0.70045161290322577</v>
      </c>
      <c r="G10" s="75"/>
    </row>
    <row r="11" spans="1:14" ht="15" thickTop="1" x14ac:dyDescent="0.3">
      <c r="A11" t="s">
        <v>136</v>
      </c>
      <c r="B11" s="84">
        <f>IF(B23*B9&gt;6000000, 6000000,B23*B9)</f>
        <v>5600000</v>
      </c>
      <c r="C11" s="8"/>
      <c r="F11" s="8"/>
      <c r="G11" s="13"/>
    </row>
    <row r="12" spans="1:14" ht="15" thickBot="1" x14ac:dyDescent="0.35">
      <c r="A12" t="s">
        <v>137</v>
      </c>
      <c r="B12" s="67">
        <f>B28</f>
        <v>600000</v>
      </c>
      <c r="C12" s="13"/>
      <c r="N12" s="33"/>
    </row>
    <row r="13" spans="1:14" ht="15.6" thickTop="1" thickBot="1" x14ac:dyDescent="0.35">
      <c r="A13" t="s">
        <v>205</v>
      </c>
      <c r="B13" s="45">
        <f>B11+B12</f>
        <v>6200000</v>
      </c>
      <c r="C13" s="88"/>
      <c r="D13" s="13"/>
      <c r="F13" s="8"/>
      <c r="G13" s="68"/>
    </row>
    <row r="14" spans="1:14" ht="15" thickTop="1" x14ac:dyDescent="0.3">
      <c r="A14" t="s">
        <v>200</v>
      </c>
      <c r="B14" s="8">
        <f>-A39*A21/100</f>
        <v>12330295.752690429</v>
      </c>
      <c r="C14" s="71"/>
      <c r="D14" s="71">
        <f>B14/B13</f>
        <v>1.9887573794661981</v>
      </c>
      <c r="F14" s="8"/>
      <c r="G14" s="68"/>
    </row>
    <row r="15" spans="1:14" x14ac:dyDescent="0.3">
      <c r="A15" t="s">
        <v>209</v>
      </c>
      <c r="B15" s="8">
        <f>-A42*A21</f>
        <v>5530559.8078778535</v>
      </c>
      <c r="C15" s="71"/>
      <c r="D15" s="71">
        <f>B15/B13</f>
        <v>0.89202577546416995</v>
      </c>
      <c r="F15" s="8"/>
      <c r="G15" s="68"/>
    </row>
    <row r="16" spans="1:14" x14ac:dyDescent="0.3">
      <c r="F16" s="8"/>
      <c r="G16" s="89"/>
    </row>
    <row r="17" spans="1:12" x14ac:dyDescent="0.3">
      <c r="B17" s="8"/>
      <c r="D17" s="8"/>
      <c r="G17" s="8"/>
    </row>
    <row r="18" spans="1:12" x14ac:dyDescent="0.3">
      <c r="B18" s="8"/>
      <c r="D18" s="8"/>
    </row>
    <row r="19" spans="1:12" x14ac:dyDescent="0.3">
      <c r="A19" t="s">
        <v>1</v>
      </c>
      <c r="L19" s="9"/>
    </row>
    <row r="20" spans="1:12" x14ac:dyDescent="0.3">
      <c r="A20" s="2">
        <v>1551</v>
      </c>
      <c r="B20" t="s">
        <v>43</v>
      </c>
      <c r="L20" s="9"/>
    </row>
    <row r="21" spans="1:12" x14ac:dyDescent="0.3">
      <c r="A21" s="3">
        <f>A20*B9</f>
        <v>4342800</v>
      </c>
      <c r="B21" t="s">
        <v>133</v>
      </c>
    </row>
    <row r="22" spans="1:12" x14ac:dyDescent="0.3">
      <c r="A22" s="10"/>
    </row>
    <row r="23" spans="1:12" x14ac:dyDescent="0.3">
      <c r="A23" s="10" t="s">
        <v>142</v>
      </c>
      <c r="B23" s="85">
        <v>2000</v>
      </c>
      <c r="C23" t="s">
        <v>144</v>
      </c>
    </row>
    <row r="25" spans="1:12" x14ac:dyDescent="0.3">
      <c r="A25" t="s">
        <v>138</v>
      </c>
      <c r="B25" s="4">
        <v>2</v>
      </c>
      <c r="C25" t="s">
        <v>139</v>
      </c>
    </row>
    <row r="26" spans="1:12" x14ac:dyDescent="0.3">
      <c r="A26" t="s">
        <v>140</v>
      </c>
      <c r="B26" s="85">
        <v>1000000</v>
      </c>
    </row>
    <row r="27" spans="1:12" x14ac:dyDescent="0.3">
      <c r="A27" t="s">
        <v>143</v>
      </c>
      <c r="B27" s="86">
        <v>0.75</v>
      </c>
      <c r="F27" s="8">
        <v>400000</v>
      </c>
      <c r="G27" t="s">
        <v>147</v>
      </c>
    </row>
    <row r="28" spans="1:12" x14ac:dyDescent="0.3">
      <c r="A28" t="s">
        <v>141</v>
      </c>
      <c r="B28" s="87">
        <f>IF((F27+(B25*F28)-B26)*B27&lt;0,0,F27+(B25*F28)-B26)</f>
        <v>600000</v>
      </c>
      <c r="F28" s="8">
        <v>600000</v>
      </c>
      <c r="G28" t="s">
        <v>146</v>
      </c>
    </row>
    <row r="29" spans="1:12" x14ac:dyDescent="0.3">
      <c r="G29" s="10"/>
    </row>
    <row r="32" spans="1:12" x14ac:dyDescent="0.3">
      <c r="A32" t="s">
        <v>6</v>
      </c>
      <c r="C32" t="s">
        <v>2</v>
      </c>
    </row>
    <row r="33" spans="1:22" x14ac:dyDescent="0.3">
      <c r="C33" t="s">
        <v>3</v>
      </c>
    </row>
    <row r="34" spans="1:22" x14ac:dyDescent="0.3">
      <c r="A34" s="20" t="s">
        <v>10</v>
      </c>
      <c r="C34">
        <v>0</v>
      </c>
      <c r="D34">
        <f>C34+1</f>
        <v>1</v>
      </c>
      <c r="E34">
        <f>D34+1</f>
        <v>2</v>
      </c>
      <c r="F34">
        <f t="shared" ref="F34:V34" si="0">E34+1</f>
        <v>3</v>
      </c>
      <c r="G34">
        <f t="shared" si="0"/>
        <v>4</v>
      </c>
      <c r="H34">
        <f t="shared" si="0"/>
        <v>5</v>
      </c>
      <c r="I34">
        <f t="shared" si="0"/>
        <v>6</v>
      </c>
      <c r="J34">
        <f t="shared" si="0"/>
        <v>7</v>
      </c>
      <c r="K34">
        <f>J34+1</f>
        <v>8</v>
      </c>
      <c r="L34">
        <f t="shared" si="0"/>
        <v>9</v>
      </c>
      <c r="M34">
        <f>L34+1</f>
        <v>10</v>
      </c>
      <c r="N34">
        <f t="shared" si="0"/>
        <v>11</v>
      </c>
      <c r="O34">
        <f t="shared" si="0"/>
        <v>12</v>
      </c>
      <c r="P34">
        <f t="shared" si="0"/>
        <v>13</v>
      </c>
      <c r="Q34">
        <f t="shared" si="0"/>
        <v>14</v>
      </c>
      <c r="R34">
        <f t="shared" si="0"/>
        <v>15</v>
      </c>
      <c r="S34">
        <f t="shared" si="0"/>
        <v>16</v>
      </c>
      <c r="T34">
        <f t="shared" si="0"/>
        <v>17</v>
      </c>
      <c r="U34">
        <f t="shared" si="0"/>
        <v>18</v>
      </c>
      <c r="V34">
        <f t="shared" si="0"/>
        <v>19</v>
      </c>
    </row>
    <row r="35" spans="1:22" x14ac:dyDescent="0.3">
      <c r="A35" s="5">
        <v>0.02</v>
      </c>
      <c r="B35" t="s">
        <v>4</v>
      </c>
      <c r="C35" s="4">
        <v>20</v>
      </c>
      <c r="D35" s="11">
        <f t="shared" ref="D35:M36" si="1">$C35*(1+$A35)^D$34</f>
        <v>20.399999999999999</v>
      </c>
      <c r="E35" s="11">
        <f t="shared" si="1"/>
        <v>20.808</v>
      </c>
      <c r="F35" s="11">
        <f t="shared" si="1"/>
        <v>21.224159999999998</v>
      </c>
      <c r="G35" s="11">
        <f t="shared" si="1"/>
        <v>21.648643199999999</v>
      </c>
      <c r="H35" s="11">
        <f t="shared" si="1"/>
        <v>22.081616064000002</v>
      </c>
      <c r="I35" s="11">
        <f t="shared" si="1"/>
        <v>22.523248385280002</v>
      </c>
      <c r="J35" s="11">
        <f t="shared" si="1"/>
        <v>22.973713352985598</v>
      </c>
      <c r="K35" s="11">
        <f t="shared" si="1"/>
        <v>23.43318762004531</v>
      </c>
      <c r="L35" s="11">
        <f t="shared" si="1"/>
        <v>23.901851372446217</v>
      </c>
      <c r="M35" s="11">
        <f t="shared" si="1"/>
        <v>24.379888399895144</v>
      </c>
      <c r="N35" s="11">
        <f t="shared" ref="N35:V36" si="2">$C35*(1+$A35)^N$34</f>
        <v>24.867486167893041</v>
      </c>
      <c r="O35" s="11">
        <f t="shared" si="2"/>
        <v>25.364835891250905</v>
      </c>
      <c r="P35" s="11">
        <f t="shared" si="2"/>
        <v>25.872132609075923</v>
      </c>
      <c r="Q35" s="11">
        <f t="shared" si="2"/>
        <v>26.389575261257441</v>
      </c>
      <c r="R35" s="11">
        <f t="shared" si="2"/>
        <v>26.917366766482584</v>
      </c>
      <c r="S35" s="11">
        <f t="shared" si="2"/>
        <v>27.455714101812241</v>
      </c>
      <c r="T35" s="11">
        <f t="shared" si="2"/>
        <v>28.004828383848487</v>
      </c>
      <c r="U35" s="11">
        <f t="shared" si="2"/>
        <v>28.564924951525455</v>
      </c>
      <c r="V35" s="11">
        <f t="shared" si="2"/>
        <v>29.136223450555963</v>
      </c>
    </row>
    <row r="36" spans="1:22" x14ac:dyDescent="0.3">
      <c r="A36" s="5">
        <v>0.02</v>
      </c>
      <c r="B36" t="s">
        <v>51</v>
      </c>
      <c r="C36" s="12">
        <f>(1-A38)*C35</f>
        <v>15</v>
      </c>
      <c r="D36" s="11">
        <f t="shared" si="1"/>
        <v>15.3</v>
      </c>
      <c r="E36" s="11">
        <f t="shared" si="1"/>
        <v>15.606</v>
      </c>
      <c r="F36" s="11">
        <f t="shared" si="1"/>
        <v>15.918119999999998</v>
      </c>
      <c r="G36" s="11">
        <f t="shared" si="1"/>
        <v>16.2364824</v>
      </c>
      <c r="H36" s="11">
        <f t="shared" si="1"/>
        <v>16.561212048000002</v>
      </c>
      <c r="I36" s="11">
        <f t="shared" si="1"/>
        <v>16.892436288960003</v>
      </c>
      <c r="J36" s="11">
        <f t="shared" si="1"/>
        <v>17.230285014739199</v>
      </c>
      <c r="K36" s="11">
        <f t="shared" si="1"/>
        <v>17.574890715033984</v>
      </c>
      <c r="L36" s="11">
        <f t="shared" si="1"/>
        <v>17.926388529334663</v>
      </c>
      <c r="M36" s="11">
        <f t="shared" si="1"/>
        <v>18.284916299921356</v>
      </c>
      <c r="N36" s="11">
        <f t="shared" si="2"/>
        <v>18.650614625919779</v>
      </c>
      <c r="O36" s="11">
        <f t="shared" si="2"/>
        <v>19.023626918438179</v>
      </c>
      <c r="P36" s="11">
        <f t="shared" si="2"/>
        <v>19.404099456806943</v>
      </c>
      <c r="Q36" s="11">
        <f t="shared" si="2"/>
        <v>19.792181445943083</v>
      </c>
      <c r="R36" s="11">
        <f t="shared" si="2"/>
        <v>20.188025074861937</v>
      </c>
      <c r="S36" s="11">
        <f t="shared" si="2"/>
        <v>20.591785576359179</v>
      </c>
      <c r="T36" s="11">
        <f t="shared" si="2"/>
        <v>21.003621287886364</v>
      </c>
      <c r="U36" s="11">
        <f t="shared" si="2"/>
        <v>21.423693713644091</v>
      </c>
      <c r="V36" s="11">
        <f t="shared" si="2"/>
        <v>21.852167587916973</v>
      </c>
    </row>
    <row r="37" spans="1:22" x14ac:dyDescent="0.3">
      <c r="A37" s="1"/>
      <c r="B37" t="s">
        <v>210</v>
      </c>
      <c r="C37" s="80">
        <v>1</v>
      </c>
      <c r="D37" s="80">
        <v>0.98</v>
      </c>
      <c r="E37" s="80">
        <f>D37-0.5%</f>
        <v>0.97499999999999998</v>
      </c>
      <c r="F37" s="80">
        <f t="shared" ref="F37:V37" si="3">E37-0.5%</f>
        <v>0.97</v>
      </c>
      <c r="G37" s="80">
        <f t="shared" si="3"/>
        <v>0.96499999999999997</v>
      </c>
      <c r="H37" s="80">
        <f t="shared" si="3"/>
        <v>0.96</v>
      </c>
      <c r="I37" s="80">
        <f t="shared" si="3"/>
        <v>0.95499999999999996</v>
      </c>
      <c r="J37" s="80">
        <f t="shared" si="3"/>
        <v>0.95</v>
      </c>
      <c r="K37" s="80">
        <f t="shared" si="3"/>
        <v>0.94499999999999995</v>
      </c>
      <c r="L37" s="80">
        <f t="shared" si="3"/>
        <v>0.94</v>
      </c>
      <c r="M37" s="80">
        <f t="shared" si="3"/>
        <v>0.93499999999999994</v>
      </c>
      <c r="N37" s="80">
        <f t="shared" si="3"/>
        <v>0.92999999999999994</v>
      </c>
      <c r="O37" s="80">
        <f t="shared" si="3"/>
        <v>0.92499999999999993</v>
      </c>
      <c r="P37" s="80">
        <f t="shared" si="3"/>
        <v>0.91999999999999993</v>
      </c>
      <c r="Q37" s="80">
        <f t="shared" si="3"/>
        <v>0.91499999999999992</v>
      </c>
      <c r="R37" s="80">
        <f t="shared" si="3"/>
        <v>0.90999999999999992</v>
      </c>
      <c r="S37" s="80">
        <f t="shared" si="3"/>
        <v>0.90499999999999992</v>
      </c>
      <c r="T37" s="80">
        <f t="shared" si="3"/>
        <v>0.89999999999999991</v>
      </c>
      <c r="U37" s="80">
        <f t="shared" si="3"/>
        <v>0.89499999999999991</v>
      </c>
      <c r="V37" s="80">
        <f t="shared" si="3"/>
        <v>0.8899999999999999</v>
      </c>
    </row>
    <row r="38" spans="1:22" x14ac:dyDescent="0.3">
      <c r="A38" s="100">
        <v>0.25</v>
      </c>
      <c r="B38" t="s">
        <v>28</v>
      </c>
      <c r="C38" s="15"/>
    </row>
    <row r="39" spans="1:22" x14ac:dyDescent="0.3">
      <c r="A39" s="11">
        <f>SUM(C39:V39)</f>
        <v>-283.92501963457744</v>
      </c>
      <c r="B39" s="11" t="s">
        <v>8</v>
      </c>
      <c r="C39" s="11">
        <f>((-0.5*C35)+(0.5*(C36-C35)))*C37</f>
        <v>-12.5</v>
      </c>
      <c r="D39" s="11">
        <f t="shared" ref="D39:V39" si="4">((-0.5*D35)+(0.5*(D36-D35)))*D37</f>
        <v>-12.494999999999997</v>
      </c>
      <c r="E39" s="11">
        <f t="shared" si="4"/>
        <v>-12.679874999999999</v>
      </c>
      <c r="F39" s="11">
        <f t="shared" si="4"/>
        <v>-12.867146999999997</v>
      </c>
      <c r="G39" s="11">
        <f t="shared" si="4"/>
        <v>-13.056837929999999</v>
      </c>
      <c r="H39" s="11">
        <f t="shared" si="4"/>
        <v>-13.2489696384</v>
      </c>
      <c r="I39" s="11">
        <f t="shared" si="4"/>
        <v>-13.443563879964</v>
      </c>
      <c r="J39" s="11">
        <f t="shared" si="4"/>
        <v>-13.640642303335198</v>
      </c>
      <c r="K39" s="11">
        <f t="shared" si="4"/>
        <v>-13.840226438089259</v>
      </c>
      <c r="L39" s="11">
        <f t="shared" si="4"/>
        <v>-14.042337681312151</v>
      </c>
      <c r="M39" s="11">
        <f t="shared" si="4"/>
        <v>-14.246997283688724</v>
      </c>
      <c r="N39" s="11">
        <f t="shared" si="4"/>
        <v>-14.45422633508783</v>
      </c>
      <c r="O39" s="11">
        <f t="shared" si="4"/>
        <v>-14.664045749629429</v>
      </c>
      <c r="P39" s="11">
        <f t="shared" si="4"/>
        <v>-14.876476250218655</v>
      </c>
      <c r="Q39" s="11">
        <f t="shared" si="4"/>
        <v>-15.091538352531595</v>
      </c>
      <c r="R39" s="11">
        <f t="shared" si="4"/>
        <v>-15.309252348436971</v>
      </c>
      <c r="S39" s="11">
        <f t="shared" si="4"/>
        <v>-15.529638288837548</v>
      </c>
      <c r="T39" s="11">
        <f t="shared" si="4"/>
        <v>-15.752715965914771</v>
      </c>
      <c r="U39" s="11">
        <f t="shared" si="4"/>
        <v>-15.978504894759549</v>
      </c>
      <c r="V39" s="11">
        <f t="shared" si="4"/>
        <v>-16.207024294371752</v>
      </c>
    </row>
    <row r="40" spans="1:22" x14ac:dyDescent="0.3">
      <c r="A40" s="17">
        <f>C40</f>
        <v>0.1</v>
      </c>
      <c r="B40" t="s">
        <v>7</v>
      </c>
      <c r="C40" s="18">
        <v>0.1</v>
      </c>
    </row>
    <row r="41" spans="1:22" x14ac:dyDescent="0.3">
      <c r="A41" s="14">
        <f>C39+NPV(A40,D39:V39)</f>
        <v>-127.35009228787543</v>
      </c>
      <c r="B41" t="s">
        <v>109</v>
      </c>
    </row>
    <row r="42" spans="1:22" x14ac:dyDescent="0.3">
      <c r="A42" s="19">
        <f>(A41)/100</f>
        <v>-1.2735009228787542</v>
      </c>
      <c r="B42" t="s">
        <v>126</v>
      </c>
      <c r="G42" s="8"/>
    </row>
    <row r="43" spans="1:22" x14ac:dyDescent="0.3">
      <c r="A43" s="14"/>
      <c r="G43" s="8"/>
    </row>
    <row r="44" spans="1:22" x14ac:dyDescent="0.3">
      <c r="A44" s="15"/>
    </row>
    <row r="45" spans="1:22" x14ac:dyDescent="0.3">
      <c r="A45" s="108"/>
      <c r="C45" s="11"/>
      <c r="D45" s="11"/>
      <c r="E45" s="11"/>
      <c r="F45" s="11"/>
      <c r="G45" s="11"/>
      <c r="H45" s="11"/>
      <c r="I45" s="11"/>
      <c r="J45" s="11"/>
      <c r="K45" s="11"/>
      <c r="L45" s="11"/>
      <c r="M45" s="11"/>
      <c r="N45" s="11"/>
      <c r="O45" s="11"/>
      <c r="P45" s="11"/>
      <c r="Q45" s="11"/>
      <c r="R45" s="11"/>
      <c r="S45" s="11"/>
      <c r="T45" s="11"/>
      <c r="U45" s="11"/>
      <c r="V45" s="11"/>
    </row>
    <row r="47" spans="1:22" x14ac:dyDescent="0.3">
      <c r="A47" s="13"/>
    </row>
  </sheetData>
  <protectedRanges>
    <protectedRange sqref="A20" name="kWh ac per kW dc_1"/>
    <protectedRange sqref="B4" name="Array Capacity   DC_1"/>
    <protectedRange sqref="C36:V36" name="Outyear PPA Rates_1"/>
    <protectedRange sqref="A38" name="Zero Year Rate Below Utility Rate_1"/>
    <protectedRange sqref="A36" name="PPA Escalation  Rate_1"/>
    <protectedRange sqref="C35" name="Utility Rate_1"/>
  </protectedRanges>
  <mergeCells count="1">
    <mergeCell ref="E2:G2"/>
  </mergeCells>
  <dataValidations count="3">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0" xr:uid="{EC3458DC-DB9A-436D-80CD-3E0A679FFD5C}"/>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1332669D-2BBB-4C80-8489-EA22C61B0410}"/>
    <dataValidation type="decimal" allowBlank="1" showInputMessage="1" showErrorMessage="1" error="The value must be between 25% and 100%" sqref="A38" xr:uid="{3BFBE1D4-F2D3-4881-909B-DA338AF4F252}">
      <formula1>0.25</formula1>
      <formula2>1</formula2>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CE1D-D789-44EE-94EE-728A6E7375E4}">
  <sheetPr>
    <tabColor rgb="FFFFC000"/>
    <pageSetUpPr fitToPage="1"/>
  </sheetPr>
  <dimension ref="A1:A6"/>
  <sheetViews>
    <sheetView topLeftCell="A3" workbookViewId="0">
      <selection activeCell="A11" sqref="A11"/>
    </sheetView>
  </sheetViews>
  <sheetFormatPr defaultRowHeight="14.4" x14ac:dyDescent="0.3"/>
  <cols>
    <col min="1" max="1" width="123.44140625" customWidth="1"/>
    <col min="2" max="12" width="9.109375" customWidth="1"/>
    <col min="13" max="13" width="3.5546875" customWidth="1"/>
  </cols>
  <sheetData>
    <row r="1" spans="1:1" ht="15" thickTop="1" x14ac:dyDescent="0.3">
      <c r="A1" s="69" t="s">
        <v>11</v>
      </c>
    </row>
    <row r="2" spans="1:1" x14ac:dyDescent="0.3">
      <c r="A2" s="62"/>
    </row>
    <row r="3" spans="1:1" ht="103.95" customHeight="1" thickBot="1" x14ac:dyDescent="0.35">
      <c r="A3" s="63" t="s">
        <v>281</v>
      </c>
    </row>
    <row r="4" spans="1:1" ht="15" thickTop="1" x14ac:dyDescent="0.3"/>
    <row r="5" spans="1:1" ht="43.8" thickBot="1" x14ac:dyDescent="0.35">
      <c r="A5" s="63" t="s">
        <v>282</v>
      </c>
    </row>
    <row r="6" spans="1:1" ht="15" thickTop="1" x14ac:dyDescent="0.3"/>
  </sheetData>
  <pageMargins left="0.7" right="0.7" top="0.75" bottom="0.75" header="0.3" footer="0.3"/>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1E7E-1A24-4016-BF21-AE7110B3F94B}">
  <sheetPr>
    <tabColor theme="7" tint="0.79998168889431442"/>
  </sheetPr>
  <dimension ref="B2:S22"/>
  <sheetViews>
    <sheetView workbookViewId="0">
      <selection activeCell="E23" sqref="E23"/>
    </sheetView>
  </sheetViews>
  <sheetFormatPr defaultRowHeight="14.4" x14ac:dyDescent="0.3"/>
  <cols>
    <col min="3" max="3" width="12.33203125" customWidth="1"/>
  </cols>
  <sheetData>
    <row r="2" spans="2:19" ht="115.2" x14ac:dyDescent="0.3">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3">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3">
      <c r="B4" t="s">
        <v>70</v>
      </c>
      <c r="C4" s="4"/>
      <c r="D4" s="1" t="e">
        <f t="shared" ref="D4:D14" si="2">C4/SUM($C$3:$C$14)</f>
        <v>#DIV/0!</v>
      </c>
      <c r="F4" s="4"/>
      <c r="G4" s="4"/>
      <c r="H4" s="4"/>
      <c r="J4" s="4"/>
      <c r="K4" s="4"/>
      <c r="L4" s="4"/>
      <c r="M4" s="4"/>
      <c r="N4" s="4"/>
      <c r="O4" s="4"/>
      <c r="P4" s="4"/>
      <c r="Q4">
        <v>0</v>
      </c>
      <c r="R4" s="4">
        <f t="shared" si="0"/>
        <v>0</v>
      </c>
      <c r="S4" t="e">
        <f t="shared" si="1"/>
        <v>#DIV/0!</v>
      </c>
    </row>
    <row r="5" spans="2:19" x14ac:dyDescent="0.3">
      <c r="B5" t="s">
        <v>71</v>
      </c>
      <c r="C5" s="4"/>
      <c r="D5" s="1" t="e">
        <f t="shared" si="2"/>
        <v>#DIV/0!</v>
      </c>
      <c r="F5" s="4"/>
      <c r="G5" s="4"/>
      <c r="H5" s="4"/>
      <c r="J5" s="4"/>
      <c r="K5" s="4"/>
      <c r="L5" s="4"/>
      <c r="M5" s="4"/>
      <c r="N5" s="4"/>
      <c r="O5" s="4"/>
      <c r="P5" s="4"/>
      <c r="Q5">
        <v>0</v>
      </c>
      <c r="R5" s="4">
        <f t="shared" si="0"/>
        <v>0</v>
      </c>
      <c r="S5" t="e">
        <f t="shared" si="1"/>
        <v>#DIV/0!</v>
      </c>
    </row>
    <row r="6" spans="2:19" x14ac:dyDescent="0.3">
      <c r="B6" t="s">
        <v>72</v>
      </c>
      <c r="C6" s="4"/>
      <c r="D6" s="1" t="e">
        <f t="shared" si="2"/>
        <v>#DIV/0!</v>
      </c>
      <c r="F6" s="4"/>
      <c r="G6" s="4"/>
      <c r="H6" s="4"/>
      <c r="J6" s="4"/>
      <c r="K6" s="4"/>
      <c r="L6" s="4"/>
      <c r="M6" s="4"/>
      <c r="N6" s="4"/>
      <c r="O6" s="4"/>
      <c r="P6" s="4"/>
      <c r="Q6">
        <v>0</v>
      </c>
      <c r="R6" s="4">
        <f t="shared" si="0"/>
        <v>0</v>
      </c>
      <c r="S6" t="e">
        <f t="shared" si="1"/>
        <v>#DIV/0!</v>
      </c>
    </row>
    <row r="7" spans="2:19" x14ac:dyDescent="0.3">
      <c r="B7" t="s">
        <v>73</v>
      </c>
      <c r="C7" s="4"/>
      <c r="D7" s="1" t="e">
        <f t="shared" si="2"/>
        <v>#DIV/0!</v>
      </c>
      <c r="F7" s="4"/>
      <c r="G7" s="4"/>
      <c r="H7" s="4"/>
      <c r="J7" s="4"/>
      <c r="K7" s="4"/>
      <c r="L7" s="4"/>
      <c r="M7" s="4"/>
      <c r="N7" s="4"/>
      <c r="O7" s="4"/>
      <c r="P7" s="4"/>
      <c r="Q7">
        <v>0</v>
      </c>
      <c r="R7" s="4">
        <f t="shared" si="0"/>
        <v>0</v>
      </c>
      <c r="S7" t="e">
        <f t="shared" si="1"/>
        <v>#DIV/0!</v>
      </c>
    </row>
    <row r="8" spans="2:19" x14ac:dyDescent="0.3">
      <c r="B8" t="s">
        <v>74</v>
      </c>
      <c r="C8" s="4"/>
      <c r="D8" s="1" t="e">
        <f t="shared" si="2"/>
        <v>#DIV/0!</v>
      </c>
      <c r="F8" s="4"/>
      <c r="G8" s="4"/>
      <c r="H8" s="4"/>
      <c r="J8" s="4"/>
      <c r="K8" s="4"/>
      <c r="L8" s="4"/>
      <c r="M8" s="4"/>
      <c r="N8" s="4"/>
      <c r="O8" s="4"/>
      <c r="P8" s="4"/>
      <c r="Q8">
        <v>0</v>
      </c>
      <c r="R8" s="4">
        <f t="shared" si="0"/>
        <v>0</v>
      </c>
      <c r="S8" t="e">
        <f t="shared" si="1"/>
        <v>#DIV/0!</v>
      </c>
    </row>
    <row r="9" spans="2:19" x14ac:dyDescent="0.3">
      <c r="B9" t="s">
        <v>75</v>
      </c>
      <c r="C9" s="4"/>
      <c r="D9" s="1" t="e">
        <f t="shared" si="2"/>
        <v>#DIV/0!</v>
      </c>
      <c r="F9" s="4"/>
      <c r="G9" s="4"/>
      <c r="H9" s="4"/>
      <c r="J9" s="4"/>
      <c r="K9" s="4"/>
      <c r="L9" s="4"/>
      <c r="M9" s="4"/>
      <c r="N9" s="4"/>
      <c r="O9" s="4"/>
      <c r="P9" s="4"/>
      <c r="Q9">
        <v>0</v>
      </c>
      <c r="R9" s="4">
        <f t="shared" si="0"/>
        <v>0</v>
      </c>
      <c r="S9" t="e">
        <f t="shared" si="1"/>
        <v>#DIV/0!</v>
      </c>
    </row>
    <row r="10" spans="2:19" x14ac:dyDescent="0.3">
      <c r="B10" t="s">
        <v>76</v>
      </c>
      <c r="C10" s="4"/>
      <c r="D10" s="1" t="e">
        <f t="shared" si="2"/>
        <v>#DIV/0!</v>
      </c>
      <c r="F10" s="4"/>
      <c r="G10" s="4"/>
      <c r="H10" s="4"/>
      <c r="J10" s="4"/>
      <c r="K10" s="4"/>
      <c r="L10" s="4"/>
      <c r="M10" s="4"/>
      <c r="N10" s="4"/>
      <c r="O10" s="4"/>
      <c r="P10" s="4"/>
      <c r="Q10">
        <v>0</v>
      </c>
      <c r="R10" s="4">
        <f t="shared" si="0"/>
        <v>0</v>
      </c>
      <c r="S10" t="e">
        <f t="shared" si="1"/>
        <v>#DIV/0!</v>
      </c>
    </row>
    <row r="11" spans="2:19" x14ac:dyDescent="0.3">
      <c r="B11" t="s">
        <v>77</v>
      </c>
      <c r="C11" s="4"/>
      <c r="D11" s="1" t="e">
        <f t="shared" si="2"/>
        <v>#DIV/0!</v>
      </c>
      <c r="F11" s="4"/>
      <c r="G11" s="4"/>
      <c r="H11" s="4"/>
      <c r="J11" s="4"/>
      <c r="K11" s="4"/>
      <c r="L11" s="4"/>
      <c r="M11" s="4"/>
      <c r="N11" s="4"/>
      <c r="O11" s="4"/>
      <c r="P11" s="4"/>
      <c r="Q11">
        <v>0</v>
      </c>
      <c r="R11" s="4">
        <f t="shared" si="0"/>
        <v>0</v>
      </c>
      <c r="S11" t="e">
        <f t="shared" si="1"/>
        <v>#DIV/0!</v>
      </c>
    </row>
    <row r="12" spans="2:19" x14ac:dyDescent="0.3">
      <c r="B12" t="s">
        <v>78</v>
      </c>
      <c r="C12" s="4"/>
      <c r="D12" s="1" t="e">
        <f t="shared" si="2"/>
        <v>#DIV/0!</v>
      </c>
      <c r="F12" s="4"/>
      <c r="G12" s="4"/>
      <c r="H12" s="4"/>
      <c r="J12" s="4"/>
      <c r="K12" s="4"/>
      <c r="L12" s="4"/>
      <c r="M12" s="4"/>
      <c r="N12" s="4"/>
      <c r="O12" s="4"/>
      <c r="P12" s="4"/>
      <c r="Q12">
        <v>0</v>
      </c>
      <c r="R12" s="4">
        <f t="shared" si="0"/>
        <v>0</v>
      </c>
      <c r="S12" t="e">
        <f t="shared" si="1"/>
        <v>#DIV/0!</v>
      </c>
    </row>
    <row r="13" spans="2:19" x14ac:dyDescent="0.3">
      <c r="B13" t="s">
        <v>79</v>
      </c>
      <c r="C13" s="4"/>
      <c r="D13" s="1" t="e">
        <f t="shared" si="2"/>
        <v>#DIV/0!</v>
      </c>
      <c r="F13" s="4"/>
      <c r="G13" s="4"/>
      <c r="H13" s="4"/>
      <c r="J13" s="4"/>
      <c r="K13" s="4"/>
      <c r="L13" s="4"/>
      <c r="M13" s="4"/>
      <c r="N13" s="4"/>
      <c r="O13" s="4"/>
      <c r="P13" s="4"/>
      <c r="Q13">
        <v>0</v>
      </c>
      <c r="R13" s="4">
        <f t="shared" si="0"/>
        <v>0</v>
      </c>
      <c r="S13" t="e">
        <f t="shared" si="1"/>
        <v>#DIV/0!</v>
      </c>
    </row>
    <row r="14" spans="2:19" x14ac:dyDescent="0.3">
      <c r="B14" t="s">
        <v>80</v>
      </c>
      <c r="C14" s="4"/>
      <c r="D14" s="1" t="e">
        <f t="shared" si="2"/>
        <v>#DIV/0!</v>
      </c>
      <c r="F14" s="4"/>
      <c r="G14" s="4"/>
      <c r="H14" s="4"/>
      <c r="J14" s="4"/>
      <c r="K14" s="4"/>
      <c r="L14" s="4"/>
      <c r="M14" s="4"/>
      <c r="N14" s="4"/>
      <c r="O14" s="4"/>
      <c r="P14" s="4"/>
      <c r="Q14">
        <v>0</v>
      </c>
      <c r="R14" s="4">
        <f t="shared" si="0"/>
        <v>0</v>
      </c>
      <c r="S14" t="e">
        <f t="shared" si="1"/>
        <v>#DIV/0!</v>
      </c>
    </row>
    <row r="15" spans="2:19" x14ac:dyDescent="0.3">
      <c r="D15" s="1"/>
    </row>
    <row r="16" spans="2:19" ht="15" thickBot="1" x14ac:dyDescent="0.35">
      <c r="D16" s="1"/>
    </row>
    <row r="17" spans="2:19" ht="15.6" thickTop="1" thickBot="1" x14ac:dyDescent="0.35">
      <c r="D17" s="1"/>
      <c r="N17" t="s">
        <v>81</v>
      </c>
      <c r="Q17" t="s">
        <v>96</v>
      </c>
      <c r="S17" s="51" t="e">
        <f>SUM(S3:S14)</f>
        <v>#DIV/0!</v>
      </c>
    </row>
    <row r="18" spans="2:19" ht="15" thickTop="1" x14ac:dyDescent="0.3"/>
    <row r="20" spans="2:19" x14ac:dyDescent="0.3">
      <c r="B20" s="4" t="s">
        <v>116</v>
      </c>
      <c r="C20" s="4"/>
      <c r="D20" s="4"/>
    </row>
    <row r="21" spans="2:19" x14ac:dyDescent="0.3">
      <c r="B21" t="s">
        <v>279</v>
      </c>
    </row>
    <row r="22" spans="2:19" x14ac:dyDescent="0.3">
      <c r="B22" t="s">
        <v>277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D538-9149-48BE-8448-20E12641DB54}">
  <sheetPr>
    <tabColor theme="7" tint="0.79998168889431442"/>
  </sheetPr>
  <dimension ref="B2:S21"/>
  <sheetViews>
    <sheetView workbookViewId="0">
      <selection activeCell="C2" sqref="C2"/>
    </sheetView>
  </sheetViews>
  <sheetFormatPr defaultRowHeight="14.4" x14ac:dyDescent="0.3"/>
  <cols>
    <col min="3" max="3" width="11.88671875" customWidth="1"/>
  </cols>
  <sheetData>
    <row r="2" spans="2:19" ht="72" x14ac:dyDescent="0.3">
      <c r="B2" s="32"/>
      <c r="C2" s="47" t="s">
        <v>280</v>
      </c>
      <c r="D2" s="48" t="s">
        <v>55</v>
      </c>
      <c r="E2" s="32"/>
      <c r="F2" s="32" t="s">
        <v>93</v>
      </c>
      <c r="G2" s="32"/>
      <c r="H2" s="32"/>
      <c r="I2" s="32"/>
      <c r="J2" s="32" t="s">
        <v>59</v>
      </c>
      <c r="K2" s="32" t="s">
        <v>60</v>
      </c>
      <c r="L2" s="32" t="s">
        <v>61</v>
      </c>
      <c r="M2" s="32" t="s">
        <v>62</v>
      </c>
      <c r="N2" s="32" t="s">
        <v>63</v>
      </c>
      <c r="O2" s="32" t="s">
        <v>66</v>
      </c>
      <c r="P2" s="32"/>
      <c r="Q2" s="32"/>
      <c r="R2" s="50" t="s">
        <v>67</v>
      </c>
      <c r="S2" s="50" t="s">
        <v>68</v>
      </c>
    </row>
    <row r="3" spans="2:19" x14ac:dyDescent="0.3">
      <c r="B3" t="s">
        <v>69</v>
      </c>
      <c r="C3" s="4"/>
      <c r="D3" s="1" t="e">
        <f>C3/SUM($C$3:$C$14)</f>
        <v>#DIV/0!</v>
      </c>
      <c r="F3" s="4"/>
      <c r="G3">
        <v>0</v>
      </c>
      <c r="H3">
        <v>0</v>
      </c>
      <c r="I3">
        <v>0</v>
      </c>
      <c r="J3" s="4"/>
      <c r="K3" s="4"/>
      <c r="L3" s="4"/>
      <c r="M3" s="4"/>
      <c r="N3" s="4"/>
      <c r="O3">
        <v>0</v>
      </c>
      <c r="R3" s="4">
        <f t="shared" ref="R3:R14" si="0">SUM(F3:O3)</f>
        <v>0</v>
      </c>
      <c r="S3" t="e">
        <f t="shared" ref="S3:S14" si="1">R3*D3</f>
        <v>#DIV/0!</v>
      </c>
    </row>
    <row r="4" spans="2:19" x14ac:dyDescent="0.3">
      <c r="B4" t="s">
        <v>70</v>
      </c>
      <c r="C4" s="4"/>
      <c r="D4" s="1" t="e">
        <f t="shared" ref="D4:D14" si="2">C4/SUM($C$3:$C$14)</f>
        <v>#DIV/0!</v>
      </c>
      <c r="F4" s="4"/>
      <c r="G4">
        <v>0</v>
      </c>
      <c r="H4">
        <v>0</v>
      </c>
      <c r="I4">
        <v>0</v>
      </c>
      <c r="J4" s="4"/>
      <c r="K4" s="4"/>
      <c r="L4" s="4"/>
      <c r="M4" s="4"/>
      <c r="N4" s="4"/>
      <c r="O4">
        <v>0</v>
      </c>
      <c r="R4" s="4">
        <f t="shared" si="0"/>
        <v>0</v>
      </c>
      <c r="S4" t="e">
        <f t="shared" si="1"/>
        <v>#DIV/0!</v>
      </c>
    </row>
    <row r="5" spans="2:19" x14ac:dyDescent="0.3">
      <c r="B5" t="s">
        <v>71</v>
      </c>
      <c r="C5" s="4"/>
      <c r="D5" s="1" t="e">
        <f t="shared" si="2"/>
        <v>#DIV/0!</v>
      </c>
      <c r="F5" s="4"/>
      <c r="G5">
        <v>0</v>
      </c>
      <c r="H5">
        <v>0</v>
      </c>
      <c r="I5">
        <v>0</v>
      </c>
      <c r="J5" s="4"/>
      <c r="K5" s="4"/>
      <c r="L5" s="4"/>
      <c r="M5" s="4"/>
      <c r="N5" s="4"/>
      <c r="O5">
        <v>0</v>
      </c>
      <c r="R5" s="4">
        <f t="shared" si="0"/>
        <v>0</v>
      </c>
      <c r="S5" t="e">
        <f t="shared" si="1"/>
        <v>#DIV/0!</v>
      </c>
    </row>
    <row r="6" spans="2:19" x14ac:dyDescent="0.3">
      <c r="B6" t="s">
        <v>72</v>
      </c>
      <c r="C6" s="4"/>
      <c r="D6" s="1" t="e">
        <f t="shared" si="2"/>
        <v>#DIV/0!</v>
      </c>
      <c r="F6" s="4"/>
      <c r="G6">
        <v>0</v>
      </c>
      <c r="H6">
        <v>0</v>
      </c>
      <c r="I6">
        <v>0</v>
      </c>
      <c r="J6" s="4"/>
      <c r="K6" s="4"/>
      <c r="L6" s="4"/>
      <c r="M6" s="4"/>
      <c r="N6" s="4"/>
      <c r="O6">
        <v>0</v>
      </c>
      <c r="R6" s="4">
        <f t="shared" si="0"/>
        <v>0</v>
      </c>
      <c r="S6" t="e">
        <f t="shared" si="1"/>
        <v>#DIV/0!</v>
      </c>
    </row>
    <row r="7" spans="2:19" x14ac:dyDescent="0.3">
      <c r="B7" t="s">
        <v>73</v>
      </c>
      <c r="C7" s="4"/>
      <c r="D7" s="1" t="e">
        <f t="shared" si="2"/>
        <v>#DIV/0!</v>
      </c>
      <c r="F7" s="4"/>
      <c r="G7">
        <v>0</v>
      </c>
      <c r="H7">
        <v>0</v>
      </c>
      <c r="I7">
        <v>0</v>
      </c>
      <c r="J7" s="4"/>
      <c r="K7" s="4"/>
      <c r="L7" s="4"/>
      <c r="M7" s="4"/>
      <c r="N7" s="4"/>
      <c r="O7">
        <v>0</v>
      </c>
      <c r="R7" s="4">
        <f t="shared" si="0"/>
        <v>0</v>
      </c>
      <c r="S7" t="e">
        <f t="shared" si="1"/>
        <v>#DIV/0!</v>
      </c>
    </row>
    <row r="8" spans="2:19" x14ac:dyDescent="0.3">
      <c r="B8" t="s">
        <v>74</v>
      </c>
      <c r="C8" s="4"/>
      <c r="D8" s="1" t="e">
        <f t="shared" si="2"/>
        <v>#DIV/0!</v>
      </c>
      <c r="F8" s="4"/>
      <c r="G8">
        <v>0</v>
      </c>
      <c r="H8">
        <v>0</v>
      </c>
      <c r="I8">
        <v>0</v>
      </c>
      <c r="J8" s="4"/>
      <c r="K8" s="4"/>
      <c r="L8" s="4"/>
      <c r="M8" s="4"/>
      <c r="N8" s="4"/>
      <c r="O8">
        <v>0</v>
      </c>
      <c r="R8" s="4">
        <f t="shared" si="0"/>
        <v>0</v>
      </c>
      <c r="S8" t="e">
        <f t="shared" si="1"/>
        <v>#DIV/0!</v>
      </c>
    </row>
    <row r="9" spans="2:19" x14ac:dyDescent="0.3">
      <c r="B9" t="s">
        <v>75</v>
      </c>
      <c r="C9" s="4"/>
      <c r="D9" s="1" t="e">
        <f t="shared" si="2"/>
        <v>#DIV/0!</v>
      </c>
      <c r="F9" s="4"/>
      <c r="G9">
        <v>0</v>
      </c>
      <c r="H9">
        <v>0</v>
      </c>
      <c r="I9">
        <v>0</v>
      </c>
      <c r="J9" s="4"/>
      <c r="K9" s="4"/>
      <c r="L9" s="4"/>
      <c r="M9" s="4"/>
      <c r="N9" s="4"/>
      <c r="O9">
        <v>0</v>
      </c>
      <c r="R9" s="4">
        <f t="shared" si="0"/>
        <v>0</v>
      </c>
      <c r="S9" t="e">
        <f t="shared" si="1"/>
        <v>#DIV/0!</v>
      </c>
    </row>
    <row r="10" spans="2:19" x14ac:dyDescent="0.3">
      <c r="B10" t="s">
        <v>76</v>
      </c>
      <c r="C10" s="4"/>
      <c r="D10" s="1" t="e">
        <f t="shared" si="2"/>
        <v>#DIV/0!</v>
      </c>
      <c r="F10" s="4"/>
      <c r="G10">
        <v>0</v>
      </c>
      <c r="H10">
        <v>0</v>
      </c>
      <c r="I10">
        <v>0</v>
      </c>
      <c r="J10" s="4"/>
      <c r="K10" s="4"/>
      <c r="L10" s="4"/>
      <c r="M10" s="4"/>
      <c r="N10" s="4"/>
      <c r="O10">
        <v>0</v>
      </c>
      <c r="R10" s="4">
        <f t="shared" si="0"/>
        <v>0</v>
      </c>
      <c r="S10" t="e">
        <f t="shared" si="1"/>
        <v>#DIV/0!</v>
      </c>
    </row>
    <row r="11" spans="2:19" x14ac:dyDescent="0.3">
      <c r="B11" t="s">
        <v>77</v>
      </c>
      <c r="C11" s="4"/>
      <c r="D11" s="1" t="e">
        <f t="shared" si="2"/>
        <v>#DIV/0!</v>
      </c>
      <c r="F11" s="4"/>
      <c r="G11">
        <v>0</v>
      </c>
      <c r="H11">
        <v>0</v>
      </c>
      <c r="I11">
        <v>0</v>
      </c>
      <c r="J11" s="4"/>
      <c r="K11" s="4"/>
      <c r="L11" s="4"/>
      <c r="M11" s="4"/>
      <c r="N11" s="4"/>
      <c r="O11">
        <v>0</v>
      </c>
      <c r="R11" s="4">
        <f t="shared" si="0"/>
        <v>0</v>
      </c>
      <c r="S11" t="e">
        <f t="shared" si="1"/>
        <v>#DIV/0!</v>
      </c>
    </row>
    <row r="12" spans="2:19" x14ac:dyDescent="0.3">
      <c r="B12" t="s">
        <v>78</v>
      </c>
      <c r="C12" s="4"/>
      <c r="D12" s="1" t="e">
        <f t="shared" si="2"/>
        <v>#DIV/0!</v>
      </c>
      <c r="F12" s="4"/>
      <c r="G12">
        <v>0</v>
      </c>
      <c r="H12">
        <v>0</v>
      </c>
      <c r="I12">
        <v>0</v>
      </c>
      <c r="J12" s="4"/>
      <c r="K12" s="4"/>
      <c r="L12" s="4"/>
      <c r="M12" s="4"/>
      <c r="N12" s="4"/>
      <c r="O12">
        <v>0</v>
      </c>
      <c r="R12" s="4">
        <f t="shared" si="0"/>
        <v>0</v>
      </c>
      <c r="S12" t="e">
        <f t="shared" si="1"/>
        <v>#DIV/0!</v>
      </c>
    </row>
    <row r="13" spans="2:19" x14ac:dyDescent="0.3">
      <c r="B13" t="s">
        <v>79</v>
      </c>
      <c r="C13" s="4"/>
      <c r="D13" s="1" t="e">
        <f t="shared" si="2"/>
        <v>#DIV/0!</v>
      </c>
      <c r="F13" s="4"/>
      <c r="G13" s="55">
        <v>0</v>
      </c>
      <c r="H13" s="55">
        <v>0</v>
      </c>
      <c r="I13" s="55">
        <v>0</v>
      </c>
      <c r="J13" s="4"/>
      <c r="K13" s="4"/>
      <c r="L13" s="4"/>
      <c r="M13" s="4"/>
      <c r="N13" s="4"/>
      <c r="O13">
        <v>0</v>
      </c>
      <c r="R13" s="4">
        <f t="shared" si="0"/>
        <v>0</v>
      </c>
      <c r="S13" t="e">
        <f t="shared" si="1"/>
        <v>#DIV/0!</v>
      </c>
    </row>
    <row r="14" spans="2:19" x14ac:dyDescent="0.3">
      <c r="B14" t="s">
        <v>80</v>
      </c>
      <c r="C14" s="4"/>
      <c r="D14" s="1" t="e">
        <f t="shared" si="2"/>
        <v>#DIV/0!</v>
      </c>
      <c r="F14" s="4"/>
      <c r="G14" s="55">
        <v>0</v>
      </c>
      <c r="H14" s="55">
        <v>0</v>
      </c>
      <c r="I14" s="55">
        <v>0</v>
      </c>
      <c r="J14" s="4"/>
      <c r="K14" s="4"/>
      <c r="L14" s="4"/>
      <c r="M14" s="4"/>
      <c r="N14" s="4"/>
      <c r="O14">
        <v>0</v>
      </c>
      <c r="R14" s="4">
        <f t="shared" si="0"/>
        <v>0</v>
      </c>
      <c r="S14" t="e">
        <f t="shared" si="1"/>
        <v>#DIV/0!</v>
      </c>
    </row>
    <row r="15" spans="2:19" x14ac:dyDescent="0.3">
      <c r="D15" s="1"/>
    </row>
    <row r="16" spans="2:19" ht="15" thickBot="1" x14ac:dyDescent="0.35">
      <c r="D16" s="1"/>
    </row>
    <row r="17" spans="2:19" ht="15.6" thickTop="1" thickBot="1" x14ac:dyDescent="0.35">
      <c r="D17" s="1"/>
      <c r="N17" t="s">
        <v>94</v>
      </c>
      <c r="O17" t="s">
        <v>276</v>
      </c>
      <c r="S17" s="51" t="e">
        <f>SUM(S3:S14)</f>
        <v>#DIV/0!</v>
      </c>
    </row>
    <row r="18" spans="2:19" ht="15" thickTop="1" x14ac:dyDescent="0.3"/>
    <row r="20" spans="2:19" x14ac:dyDescent="0.3">
      <c r="B20" s="4" t="s">
        <v>116</v>
      </c>
      <c r="C20" s="4"/>
      <c r="D20" s="4"/>
    </row>
    <row r="21" spans="2:19" x14ac:dyDescent="0.3">
      <c r="B21" t="s">
        <v>278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AEFD1AE4CB84CA5E888638245D7B5" ma:contentTypeVersion="2" ma:contentTypeDescription="Create a new document." ma:contentTypeScope="" ma:versionID="4934fd2055dffb1d55477fd9030a4fb6">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37A8087-C1D5-421C-98D2-7EF4D2A990C6}"/>
</file>

<file path=customXml/itemProps2.xml><?xml version="1.0" encoding="utf-8"?>
<ds:datastoreItem xmlns:ds="http://schemas.openxmlformats.org/officeDocument/2006/customXml" ds:itemID="{48707AAD-10CD-4781-877F-9FBBE89EB5BD}"/>
</file>

<file path=customXml/itemProps3.xml><?xml version="1.0" encoding="utf-8"?>
<ds:datastoreItem xmlns:ds="http://schemas.openxmlformats.org/officeDocument/2006/customXml" ds:itemID="{55E380CD-1104-449E-8001-B58E55836D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Application (Sign)</vt:lpstr>
      <vt:lpstr>Attestations (Sign)</vt:lpstr>
      <vt:lpstr>Instructions AOI-1</vt:lpstr>
      <vt:lpstr>AOI-1 Incentive Calc</vt:lpstr>
      <vt:lpstr>Instructions AOI-2</vt:lpstr>
      <vt:lpstr>AOI-2 Incentive Calc</vt:lpstr>
      <vt:lpstr>Instructions Rate Calc</vt:lpstr>
      <vt:lpstr>PE Rate Calc Example</vt:lpstr>
      <vt:lpstr>BGE Rate Calc Example</vt:lpstr>
      <vt:lpstr>Pepco Rate Calc Example</vt:lpstr>
      <vt:lpstr>DPL Rate Calc Example</vt:lpstr>
      <vt:lpstr>(Optional) AOI-2 calc sheet</vt:lpstr>
      <vt:lpstr>'Attestations (Sign)'!Print_Area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David Comis -MEA-</cp:lastModifiedBy>
  <cp:lastPrinted>2018-03-01T19:54:18Z</cp:lastPrinted>
  <dcterms:created xsi:type="dcterms:W3CDTF">2018-02-13T19:26:32Z</dcterms:created>
  <dcterms:modified xsi:type="dcterms:W3CDTF">2025-12-11T17:49:34Z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0x010100B49AEFD1AE4CB84CA5E888638245D7B5</vt:lpwstr>
  </property>
</Properties>
</file>