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energyshrink.sharepoint.com/sites/Projects/Shared Documents/202405 MEA Task 3 MW4MD/Shared with MES/Memos/Topic 3. Program Eligibility/Financial Model/20261023/Attachment E/"/>
    </mc:Choice>
  </mc:AlternateContent>
  <xr:revisionPtr revIDLastSave="2082" documentId="8_{6126E295-6B75-4F59-8933-91D5073F9E1A}" xr6:coauthVersionLast="47" xr6:coauthVersionMax="47" xr10:uidLastSave="{1C76E7B5-E7F3-4158-81FD-0512CFCAE13F}"/>
  <bookViews>
    <workbookView xWindow="-110" yWindow="-110" windowWidth="19420" windowHeight="11500" firstSheet="1" activeTab="1" xr2:uid="{00000000-000D-0000-FFFF-FFFF00000000}"/>
  </bookViews>
  <sheets>
    <sheet name="Instructions" sheetId="7" r:id="rId1"/>
    <sheet name="User Inputs" sheetId="5" r:id="rId2"/>
    <sheet name="Cash Flow" sheetId="2" r:id="rId3"/>
    <sheet name="Summary" sheetId="3" r:id="rId4"/>
    <sheet name="Depreciation Schedule" sheetId="8" r:id="rId5"/>
    <sheet name="Dev Notes" sheetId="6" state="hidden" r:id="rId6"/>
  </sheets>
  <definedNames>
    <definedName name="Battery_Storage">'Dev Notes'!$B$19:$B$25</definedName>
    <definedName name="Biomass">'Dev Notes'!$B$65:$B$66</definedName>
    <definedName name="Fuel_Cell">'Dev Notes'!$B$49:$B$50</definedName>
    <definedName name="Geothermal">'Dev Notes'!$B$69:$B$70</definedName>
    <definedName name="Hydro">'Dev Notes'!$B$45:$B$46</definedName>
    <definedName name="ITC_Only">'Dev Notes'!$G$51</definedName>
    <definedName name="ITC_PTC">'Dev Notes'!$H$51:$H$52</definedName>
    <definedName name="Methane_from_Waste">'Dev Notes'!$B$53:$B$54</definedName>
    <definedName name="Ocean">'Dev Notes'!$B$73:$B$74</definedName>
    <definedName name="PJM_Zones">'Dev Notes'!$G$19:$G$39</definedName>
    <definedName name="Poultry_Litter_to_Energy">'Dev Notes'!$B$61:$B$62</definedName>
    <definedName name="Solar_PV">'Dev Notes'!$B$29:$B$35</definedName>
    <definedName name="Solar_Thermal">'Dev Notes'!$B$77:$B$78</definedName>
    <definedName name="Wastewater_to_Heat">'Dev Notes'!$B$57:$B$58</definedName>
    <definedName name="Wind">'Dev Notes'!$B$39:$B$41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2" l="1"/>
  <c r="D5" i="2" s="1"/>
  <c r="E5" i="2" s="1"/>
  <c r="F5" i="2" s="1"/>
  <c r="G5" i="2" s="1"/>
  <c r="H5" i="2" s="1"/>
  <c r="I5" i="2" s="1"/>
  <c r="J5" i="2" s="1"/>
  <c r="K5" i="2" s="1"/>
  <c r="L5" i="2" s="1"/>
  <c r="M5" i="2" s="1"/>
  <c r="N5" i="2" s="1"/>
  <c r="O5" i="2" s="1"/>
  <c r="P5" i="2" s="1"/>
  <c r="Q5" i="2" s="1"/>
  <c r="R5" i="2" s="1"/>
  <c r="S5" i="2" s="1"/>
  <c r="T5" i="2" s="1"/>
  <c r="U5" i="2" s="1"/>
  <c r="V5" i="2" s="1"/>
  <c r="W5" i="2" s="1"/>
  <c r="X5" i="2" s="1"/>
  <c r="Y5" i="2" s="1"/>
  <c r="Z5" i="2" s="1"/>
  <c r="AA5" i="2" s="1"/>
  <c r="AB5" i="2" s="1"/>
  <c r="AC5" i="2" s="1"/>
  <c r="AD5" i="2" s="1"/>
  <c r="AE5" i="2" s="1"/>
  <c r="AF5" i="2" s="1"/>
  <c r="AG5" i="2" s="1"/>
  <c r="AH5" i="2" s="1"/>
  <c r="AI5" i="2" s="1"/>
  <c r="AJ5" i="2" s="1"/>
  <c r="AK5" i="2" s="1"/>
  <c r="AL5" i="2" s="1"/>
  <c r="AM5" i="2" s="1"/>
  <c r="E17" i="5"/>
  <c r="D29" i="5"/>
  <c r="B29" i="5"/>
  <c r="H31" i="5" s="1"/>
  <c r="D63" i="2"/>
  <c r="D62" i="2"/>
  <c r="D61" i="2"/>
  <c r="D47" i="2"/>
  <c r="D48" i="2"/>
  <c r="D49" i="2"/>
  <c r="D50" i="2"/>
  <c r="D51" i="2"/>
  <c r="D52" i="2"/>
  <c r="D53" i="2"/>
  <c r="D54" i="2"/>
  <c r="D46" i="2"/>
  <c r="D43" i="2"/>
  <c r="D44" i="2"/>
  <c r="D42" i="2"/>
  <c r="D40" i="2"/>
  <c r="D39" i="2"/>
  <c r="D36" i="2"/>
  <c r="D35" i="2"/>
  <c r="D29" i="2"/>
  <c r="D30" i="2"/>
  <c r="D31" i="2"/>
  <c r="D32" i="2"/>
  <c r="D33" i="2"/>
  <c r="D34" i="2"/>
  <c r="D28" i="2"/>
  <c r="D25" i="2"/>
  <c r="D20" i="2"/>
  <c r="D21" i="2"/>
  <c r="D22" i="2"/>
  <c r="D19" i="2"/>
  <c r="D11" i="2"/>
  <c r="D12" i="2"/>
  <c r="D13" i="2"/>
  <c r="D14" i="2"/>
  <c r="D15" i="2"/>
  <c r="D16" i="2"/>
  <c r="D10" i="2"/>
  <c r="D9" i="2"/>
  <c r="D58" i="2"/>
  <c r="D59" i="2"/>
  <c r="D60" i="2"/>
  <c r="D57" i="2"/>
  <c r="A25" i="5"/>
  <c r="F113" i="5"/>
  <c r="B109" i="5"/>
  <c r="B111" i="5"/>
  <c r="H109" i="5"/>
  <c r="F109" i="5"/>
  <c r="D109" i="5"/>
  <c r="H113" i="5"/>
  <c r="A21" i="5"/>
  <c r="A15" i="5"/>
  <c r="C47" i="2"/>
  <c r="C48" i="2"/>
  <c r="C49" i="2"/>
  <c r="F50" i="2"/>
  <c r="G50" i="2"/>
  <c r="H50" i="2"/>
  <c r="I50" i="2"/>
  <c r="J50" i="2"/>
  <c r="K50" i="2"/>
  <c r="L50" i="2"/>
  <c r="M50" i="2"/>
  <c r="N50" i="2"/>
  <c r="O50" i="2"/>
  <c r="P50" i="2"/>
  <c r="Q50" i="2"/>
  <c r="R50" i="2"/>
  <c r="S50" i="2"/>
  <c r="T50" i="2"/>
  <c r="U50" i="2"/>
  <c r="V50" i="2"/>
  <c r="W50" i="2"/>
  <c r="X50" i="2"/>
  <c r="Y50" i="2"/>
  <c r="Z50" i="2"/>
  <c r="AA50" i="2"/>
  <c r="AB50" i="2"/>
  <c r="AC50" i="2"/>
  <c r="AD50" i="2"/>
  <c r="AE50" i="2"/>
  <c r="AF50" i="2"/>
  <c r="AG50" i="2"/>
  <c r="AH50" i="2"/>
  <c r="AI50" i="2"/>
  <c r="AJ50" i="2"/>
  <c r="AK50" i="2"/>
  <c r="AL50" i="2"/>
  <c r="AM50" i="2"/>
  <c r="C31" i="2"/>
  <c r="B7" i="8" a="1"/>
  <c r="B8" i="8" a="1"/>
  <c r="B9" i="8" a="1"/>
  <c r="B10" i="8" a="1"/>
  <c r="B11" i="8" a="1"/>
  <c r="B12" i="8" a="1"/>
  <c r="B13" i="8" a="1"/>
  <c r="B14" i="8" a="1"/>
  <c r="B15" i="8" a="1"/>
  <c r="B16" i="8" a="1"/>
  <c r="B17" i="8" a="1"/>
  <c r="B18" i="8" a="1"/>
  <c r="B19" i="8" a="1"/>
  <c r="B20" i="8" a="1"/>
  <c r="B21" i="8" a="1"/>
  <c r="B22" i="8" a="1"/>
  <c r="B23" i="8" a="1"/>
  <c r="B24" i="8" a="1"/>
  <c r="B25" i="8" a="1"/>
  <c r="B26" i="8" a="1"/>
  <c r="B27" i="8" a="1"/>
  <c r="B28" i="8" a="1"/>
  <c r="B29" i="8" a="1"/>
  <c r="B30" i="8" a="1"/>
  <c r="B31" i="8" a="1"/>
  <c r="B32" i="8" a="1"/>
  <c r="B33" i="8" a="1"/>
  <c r="B34" i="8" a="1"/>
  <c r="B35" i="8" a="1"/>
  <c r="B36" i="8" a="1"/>
  <c r="B37" i="8" a="1"/>
  <c r="B38" i="8" a="1"/>
  <c r="B39" i="8" a="1"/>
  <c r="B40" i="8" a="1"/>
  <c r="B6" i="8" a="1"/>
  <c r="C4" i="8"/>
  <c r="F19" i="5" a="1"/>
  <c r="H3" i="6"/>
  <c r="H19" i="5" a="1"/>
  <c r="F111" i="5" l="1"/>
  <c r="D26" i="3"/>
  <c r="E26" i="3"/>
  <c r="F26" i="3"/>
  <c r="G26" i="3"/>
  <c r="H26" i="3"/>
  <c r="I26" i="3"/>
  <c r="J26" i="3"/>
  <c r="K26" i="3"/>
  <c r="L26" i="3"/>
  <c r="M26" i="3"/>
  <c r="N26" i="3"/>
  <c r="O26" i="3"/>
  <c r="P26" i="3"/>
  <c r="Q26" i="3"/>
  <c r="R26" i="3"/>
  <c r="S26" i="3"/>
  <c r="T26" i="3"/>
  <c r="U26" i="3"/>
  <c r="V26" i="3"/>
  <c r="W26" i="3"/>
  <c r="X26" i="3"/>
  <c r="Y26" i="3"/>
  <c r="Z26" i="3"/>
  <c r="AA26" i="3"/>
  <c r="AB26" i="3"/>
  <c r="AC26" i="3"/>
  <c r="AD26" i="3"/>
  <c r="AE26" i="3"/>
  <c r="AF26" i="3"/>
  <c r="AG26" i="3"/>
  <c r="AH26" i="3"/>
  <c r="AI26" i="3"/>
  <c r="AJ26" i="3"/>
  <c r="AK26" i="3"/>
  <c r="C26" i="3"/>
  <c r="C64" i="5" l="1"/>
  <c r="C56" i="5"/>
  <c r="C57" i="5"/>
  <c r="C59" i="5"/>
  <c r="C60" i="5"/>
  <c r="C61" i="5"/>
  <c r="C62" i="5"/>
  <c r="C63" i="5"/>
  <c r="C55" i="5"/>
  <c r="G56" i="5"/>
  <c r="G57" i="5"/>
  <c r="G58" i="5"/>
  <c r="G59" i="5"/>
  <c r="G60" i="5"/>
  <c r="G61" i="5"/>
  <c r="G62" i="5"/>
  <c r="G63" i="5"/>
  <c r="G64" i="5"/>
  <c r="G55" i="5"/>
  <c r="F104" i="5"/>
  <c r="C52" i="2" l="1"/>
  <c r="C53" i="2"/>
  <c r="D111" i="5" l="1"/>
  <c r="B113" i="5" l="1"/>
  <c r="D113" i="5" s="1"/>
  <c r="H111" i="5"/>
  <c r="C13" i="3"/>
  <c r="C63" i="2"/>
  <c r="C62" i="2"/>
  <c r="C61" i="2"/>
  <c r="C54" i="2"/>
  <c r="C51" i="2"/>
  <c r="AM51" i="2"/>
  <c r="AL51" i="2"/>
  <c r="AK51" i="2"/>
  <c r="AJ51" i="2"/>
  <c r="AI51" i="2"/>
  <c r="AH51" i="2"/>
  <c r="AG51" i="2"/>
  <c r="AF51" i="2"/>
  <c r="AE51" i="2"/>
  <c r="AD51" i="2"/>
  <c r="AC51" i="2"/>
  <c r="AB51" i="2"/>
  <c r="AA51" i="2"/>
  <c r="Z51" i="2"/>
  <c r="Y51" i="2"/>
  <c r="X51" i="2"/>
  <c r="W51" i="2"/>
  <c r="V51" i="2"/>
  <c r="U51" i="2"/>
  <c r="T51" i="2"/>
  <c r="S51" i="2"/>
  <c r="R51" i="2"/>
  <c r="Q51" i="2"/>
  <c r="P51" i="2"/>
  <c r="O51" i="2"/>
  <c r="N51" i="2"/>
  <c r="M51" i="2"/>
  <c r="L51" i="2"/>
  <c r="K51" i="2"/>
  <c r="J51" i="2"/>
  <c r="I51" i="2"/>
  <c r="H51" i="2"/>
  <c r="G51" i="2"/>
  <c r="F51" i="2"/>
  <c r="C50" i="2"/>
  <c r="C46" i="2"/>
  <c r="C44" i="2"/>
  <c r="C43" i="2"/>
  <c r="C42" i="2"/>
  <c r="C40" i="2"/>
  <c r="C39" i="2"/>
  <c r="C36" i="2"/>
  <c r="C35" i="2"/>
  <c r="C34" i="2"/>
  <c r="C33" i="2"/>
  <c r="C32" i="2"/>
  <c r="C30" i="2"/>
  <c r="C29" i="2"/>
  <c r="C28" i="2"/>
  <c r="C25" i="2"/>
  <c r="C22" i="2"/>
  <c r="C21" i="2"/>
  <c r="C20" i="2"/>
  <c r="C19" i="2"/>
  <c r="C16" i="2"/>
  <c r="C15" i="2"/>
  <c r="C14" i="2"/>
  <c r="C13" i="2"/>
  <c r="C12" i="2"/>
  <c r="C10" i="2"/>
  <c r="C9" i="2"/>
  <c r="F4" i="8" l="1"/>
  <c r="E50" i="2"/>
  <c r="C58" i="2" l="1"/>
  <c r="C57" i="2" l="1"/>
  <c r="C10" i="3"/>
  <c r="E51" i="2" l="1"/>
  <c r="D10" i="3"/>
  <c r="C59" i="2"/>
  <c r="C45" i="2"/>
  <c r="C60" i="2"/>
  <c r="C41" i="2"/>
  <c r="D41" i="2" s="1"/>
  <c r="D11" i="3"/>
  <c r="C11" i="3"/>
  <c r="E41" i="2" l="1"/>
  <c r="D45" i="2"/>
  <c r="E42" i="2"/>
  <c r="E44" i="2" s="1"/>
  <c r="E43" i="2" s="1"/>
  <c r="E45" i="2" s="1"/>
  <c r="F41" i="2" l="1"/>
  <c r="F42" i="2" l="1"/>
  <c r="F44" i="2" l="1"/>
  <c r="F43" i="2" s="1"/>
  <c r="F45" i="2" s="1"/>
  <c r="G41" i="2" s="1"/>
  <c r="G42" i="2" l="1"/>
  <c r="G44" i="2" l="1"/>
  <c r="G43" i="2" s="1"/>
  <c r="G45" i="2" s="1"/>
  <c r="H41" i="2" s="1"/>
  <c r="H42" i="2" l="1"/>
  <c r="H44" i="2" l="1"/>
  <c r="H43" i="2" s="1"/>
  <c r="H45" i="2" s="1"/>
  <c r="I41" i="2" s="1"/>
  <c r="I42" i="2" l="1"/>
  <c r="I44" i="2" l="1"/>
  <c r="I43" i="2" s="1"/>
  <c r="I45" i="2" s="1"/>
  <c r="J41" i="2" s="1"/>
  <c r="J42" i="2" l="1"/>
  <c r="J44" i="2" l="1"/>
  <c r="J43" i="2" s="1"/>
  <c r="J45" i="2" s="1"/>
  <c r="K41" i="2" s="1"/>
  <c r="K42" i="2" l="1"/>
  <c r="K44" i="2" l="1"/>
  <c r="K43" i="2" s="1"/>
  <c r="K45" i="2" s="1"/>
  <c r="L41" i="2" s="1"/>
  <c r="L42" i="2" l="1"/>
  <c r="L44" i="2" l="1"/>
  <c r="L43" i="2" s="1"/>
  <c r="L45" i="2" s="1"/>
  <c r="M41" i="2" s="1"/>
  <c r="M42" i="2" l="1"/>
  <c r="M44" i="2" l="1"/>
  <c r="M43" i="2" s="1"/>
  <c r="M45" i="2" s="1"/>
  <c r="N41" i="2" s="1"/>
  <c r="N42" i="2" l="1"/>
  <c r="N44" i="2" l="1"/>
  <c r="N43" i="2" s="1"/>
  <c r="N45" i="2" s="1"/>
  <c r="O41" i="2" s="1"/>
  <c r="O42" i="2" l="1"/>
  <c r="O44" i="2" l="1"/>
  <c r="O43" i="2" s="1"/>
  <c r="O45" i="2" s="1"/>
  <c r="P41" i="2" s="1"/>
  <c r="P42" i="2" l="1"/>
  <c r="P44" i="2" l="1"/>
  <c r="P43" i="2" l="1"/>
  <c r="P45" i="2" s="1"/>
  <c r="Q41" i="2" s="1"/>
  <c r="Q42" i="2" s="1"/>
  <c r="Q44" i="2" l="1"/>
  <c r="Q43" i="2" s="1"/>
  <c r="Q45" i="2" s="1"/>
  <c r="R41" i="2" s="1"/>
  <c r="R42" i="2" l="1"/>
  <c r="R44" i="2" l="1"/>
  <c r="R43" i="2" s="1"/>
  <c r="R45" i="2" s="1"/>
  <c r="S41" i="2" s="1"/>
  <c r="S42" i="2" l="1"/>
  <c r="S44" i="2" l="1"/>
  <c r="S43" i="2" s="1"/>
  <c r="S45" i="2" s="1"/>
  <c r="T41" i="2" s="1"/>
  <c r="T42" i="2" l="1"/>
  <c r="T44" i="2" l="1"/>
  <c r="T43" i="2" s="1"/>
  <c r="T45" i="2" s="1"/>
  <c r="U41" i="2" s="1"/>
  <c r="U42" i="2" l="1"/>
  <c r="U44" i="2" l="1"/>
  <c r="U43" i="2" s="1"/>
  <c r="U45" i="2" s="1"/>
  <c r="V41" i="2" s="1"/>
  <c r="V42" i="2" l="1"/>
  <c r="V44" i="2" l="1"/>
  <c r="V43" i="2" s="1"/>
  <c r="V45" i="2" s="1"/>
  <c r="W41" i="2" s="1"/>
  <c r="W42" i="2" l="1"/>
  <c r="W44" i="2" s="1"/>
  <c r="W43" i="2"/>
  <c r="W45" i="2" s="1"/>
  <c r="X41" i="2" l="1"/>
  <c r="X42" i="2" l="1"/>
  <c r="X44" i="2" s="1"/>
  <c r="X43" i="2"/>
  <c r="X45" i="2" s="1"/>
  <c r="Y41" i="2" l="1"/>
  <c r="Y42" i="2" l="1"/>
  <c r="Y44" i="2" s="1"/>
  <c r="Y43" i="2"/>
  <c r="Y45" i="2" s="1"/>
  <c r="Z41" i="2" l="1"/>
  <c r="Z42" i="2" l="1"/>
  <c r="Z44" i="2" s="1"/>
  <c r="Z43" i="2"/>
  <c r="Z45" i="2" s="1"/>
  <c r="AA41" i="2" l="1"/>
  <c r="AA42" i="2" l="1"/>
  <c r="AA44" i="2" s="1"/>
  <c r="AA43" i="2"/>
  <c r="AA45" i="2" s="1"/>
  <c r="AB41" i="2" l="1"/>
  <c r="AB42" i="2" l="1"/>
  <c r="AB44" i="2" s="1"/>
  <c r="AB43" i="2"/>
  <c r="AB45" i="2" s="1"/>
  <c r="AC41" i="2" l="1"/>
  <c r="AC42" i="2" l="1"/>
  <c r="AC44" i="2" s="1"/>
  <c r="AC43" i="2"/>
  <c r="AC45" i="2" s="1"/>
  <c r="AD41" i="2" l="1"/>
  <c r="AD42" i="2" l="1"/>
  <c r="AD44" i="2" s="1"/>
  <c r="AD43" i="2"/>
  <c r="AD45" i="2" s="1"/>
  <c r="AE41" i="2" l="1"/>
  <c r="AE42" i="2" l="1"/>
  <c r="AE44" i="2" s="1"/>
  <c r="AE43" i="2"/>
  <c r="AE45" i="2" s="1"/>
  <c r="AF41" i="2" l="1"/>
  <c r="AF42" i="2" l="1"/>
  <c r="AF44" i="2" s="1"/>
  <c r="AF43" i="2"/>
  <c r="AF45" i="2" s="1"/>
  <c r="AG41" i="2" l="1"/>
  <c r="AG42" i="2" l="1"/>
  <c r="AG44" i="2" s="1"/>
  <c r="AG43" i="2"/>
  <c r="AG45" i="2" s="1"/>
  <c r="AH41" i="2" l="1"/>
  <c r="AH42" i="2" l="1"/>
  <c r="AH44" i="2" s="1"/>
  <c r="AH43" i="2"/>
  <c r="AH45" i="2" s="1"/>
  <c r="AI41" i="2" l="1"/>
  <c r="AI42" i="2" l="1"/>
  <c r="AI44" i="2" s="1"/>
  <c r="AI43" i="2"/>
  <c r="AI45" i="2" s="1"/>
  <c r="AJ41" i="2" l="1"/>
  <c r="AJ42" i="2" l="1"/>
  <c r="AJ44" i="2" s="1"/>
  <c r="AJ43" i="2"/>
  <c r="AJ45" i="2" s="1"/>
  <c r="AK41" i="2" l="1"/>
  <c r="AK42" i="2" l="1"/>
  <c r="AK44" i="2" s="1"/>
  <c r="AK43" i="2"/>
  <c r="AK45" i="2" s="1"/>
  <c r="AL41" i="2" l="1"/>
  <c r="AL42" i="2" l="1"/>
  <c r="AL44" i="2" s="1"/>
  <c r="AL43" i="2"/>
  <c r="AL45" i="2" s="1"/>
  <c r="AM41" i="2" l="1"/>
  <c r="AM42" i="2" l="1"/>
  <c r="AM44" i="2" s="1"/>
  <c r="AM43" i="2"/>
  <c r="AM45" i="2" s="1"/>
  <c r="D74" i="5" l="1"/>
  <c r="C58" i="5"/>
  <c r="I22" i="2" l="1"/>
  <c r="R22" i="2"/>
  <c r="AM22" i="2"/>
  <c r="N22" i="2"/>
  <c r="E30" i="2"/>
  <c r="Y30" i="2"/>
  <c r="AB22" i="2"/>
  <c r="W30" i="2"/>
  <c r="F22" i="2"/>
  <c r="S30" i="2"/>
  <c r="AD20" i="2"/>
  <c r="AL20" i="2"/>
  <c r="K20" i="2"/>
  <c r="AA20" i="2"/>
  <c r="Q34" i="2"/>
  <c r="Z34" i="2"/>
  <c r="H34" i="2"/>
  <c r="AI34" i="2"/>
  <c r="I20" i="2"/>
  <c r="AJ30" i="2"/>
  <c r="W22" i="2"/>
  <c r="AK30" i="2"/>
  <c r="AF20" i="2"/>
  <c r="U20" i="2"/>
  <c r="V34" i="2"/>
  <c r="J34" i="2"/>
  <c r="AE34" i="2"/>
  <c r="O34" i="2"/>
  <c r="AH30" i="2"/>
  <c r="AI30" i="2"/>
  <c r="V20" i="2"/>
  <c r="Y34" i="2"/>
  <c r="M34" i="2"/>
  <c r="AL34" i="2"/>
  <c r="AE22" i="2"/>
  <c r="AG30" i="2"/>
  <c r="F30" i="2"/>
  <c r="AF30" i="2"/>
  <c r="W20" i="2"/>
  <c r="AD34" i="2"/>
  <c r="AM34" i="2"/>
  <c r="Z22" i="2"/>
  <c r="AE30" i="2"/>
  <c r="K22" i="2"/>
  <c r="X20" i="2"/>
  <c r="I34" i="2"/>
  <c r="AG34" i="2"/>
  <c r="R34" i="2"/>
  <c r="K30" i="2"/>
  <c r="AC30" i="2"/>
  <c r="J22" i="2"/>
  <c r="AJ20" i="2"/>
  <c r="Q20" i="2"/>
  <c r="L22" i="2"/>
  <c r="AJ22" i="2"/>
  <c r="AL22" i="2"/>
  <c r="AL30" i="2"/>
  <c r="V30" i="2"/>
  <c r="Y22" i="2"/>
  <c r="T30" i="2"/>
  <c r="AM30" i="2"/>
  <c r="P30" i="2"/>
  <c r="AE20" i="2"/>
  <c r="AM20" i="2"/>
  <c r="L20" i="2"/>
  <c r="T20" i="2"/>
  <c r="AB20" i="2"/>
  <c r="T34" i="2"/>
  <c r="G34" i="2"/>
  <c r="AB34" i="2"/>
  <c r="K34" i="2"/>
  <c r="AJ34" i="2"/>
  <c r="H30" i="2"/>
  <c r="I30" i="2"/>
  <c r="U30" i="2"/>
  <c r="R30" i="2"/>
  <c r="N30" i="2"/>
  <c r="E20" i="2"/>
  <c r="M20" i="2"/>
  <c r="O30" i="2"/>
  <c r="L30" i="2"/>
  <c r="S34" i="2"/>
  <c r="AC22" i="2"/>
  <c r="S22" i="2"/>
  <c r="J30" i="2"/>
  <c r="F34" i="2"/>
  <c r="AA22" i="2"/>
  <c r="AK22" i="2"/>
  <c r="AD30" i="2"/>
  <c r="AI20" i="2"/>
  <c r="P20" i="2"/>
  <c r="AA34" i="2"/>
  <c r="X22" i="2"/>
  <c r="AF22" i="2"/>
  <c r="AB30" i="2"/>
  <c r="Y20" i="2"/>
  <c r="E34" i="2"/>
  <c r="G20" i="2"/>
  <c r="AG22" i="2"/>
  <c r="M30" i="2"/>
  <c r="T22" i="2"/>
  <c r="Q30" i="2"/>
  <c r="AG20" i="2"/>
  <c r="N20" i="2"/>
  <c r="AH34" i="2"/>
  <c r="AI22" i="2"/>
  <c r="M22" i="2"/>
  <c r="AH20" i="2"/>
  <c r="O20" i="2"/>
  <c r="P34" i="2"/>
  <c r="X34" i="2"/>
  <c r="AH22" i="2"/>
  <c r="Q22" i="2"/>
  <c r="G30" i="2"/>
  <c r="AK34" i="2"/>
  <c r="U22" i="2"/>
  <c r="O22" i="2"/>
  <c r="S20" i="2"/>
  <c r="P22" i="2"/>
  <c r="AC20" i="2"/>
  <c r="E22" i="2"/>
  <c r="G22" i="2"/>
  <c r="J20" i="2"/>
  <c r="R20" i="2"/>
  <c r="N34" i="2"/>
  <c r="Z20" i="2"/>
  <c r="U34" i="2"/>
  <c r="Z30" i="2"/>
  <c r="V22" i="2"/>
  <c r="AK20" i="2"/>
  <c r="AA30" i="2"/>
  <c r="L34" i="2"/>
  <c r="AC34" i="2"/>
  <c r="AD22" i="2"/>
  <c r="AF34" i="2"/>
  <c r="X30" i="2"/>
  <c r="F20" i="2"/>
  <c r="H22" i="2"/>
  <c r="W34" i="2"/>
  <c r="H20" i="2"/>
  <c r="C19" i="3" l="1"/>
  <c r="D19" i="3"/>
  <c r="D17" i="3"/>
  <c r="C17" i="3"/>
  <c r="B40" i="8" l="1"/>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B9" i="8"/>
  <c r="B8" i="8"/>
  <c r="B7" i="8"/>
  <c r="B6" i="8"/>
  <c r="H19" i="5"/>
  <c r="F19" i="5"/>
  <c r="C4" i="2" l="1"/>
  <c r="R52" i="2"/>
  <c r="R53" i="2" s="1"/>
  <c r="Y52" i="2"/>
  <c r="Y53" i="2" s="1"/>
  <c r="AE52" i="2"/>
  <c r="AE53" i="2" s="1"/>
  <c r="AK52" i="2"/>
  <c r="AK53" i="2" s="1"/>
  <c r="Q52" i="2"/>
  <c r="Q53" i="2" s="1"/>
  <c r="W52" i="2"/>
  <c r="W53" i="2" s="1"/>
  <c r="AB52" i="2"/>
  <c r="AB53" i="2" s="1"/>
  <c r="AG52" i="2"/>
  <c r="AG53" i="2" s="1"/>
  <c r="AL52" i="2"/>
  <c r="AL53" i="2" s="1"/>
  <c r="T52" i="2"/>
  <c r="T53" i="2" s="1"/>
  <c r="Z52" i="2"/>
  <c r="Z53" i="2" s="1"/>
  <c r="AD52" i="2"/>
  <c r="AD53" i="2" s="1"/>
  <c r="AI52" i="2"/>
  <c r="AI53" i="2" s="1"/>
  <c r="O52" i="2"/>
  <c r="O53" i="2" s="1"/>
  <c r="P52" i="2"/>
  <c r="P53" i="2" s="1"/>
  <c r="S52" i="2"/>
  <c r="S53" i="2" s="1"/>
  <c r="U52" i="2"/>
  <c r="U53" i="2" s="1"/>
  <c r="V52" i="2"/>
  <c r="V53" i="2" s="1"/>
  <c r="X52" i="2"/>
  <c r="X53" i="2" s="1"/>
  <c r="AA52" i="2"/>
  <c r="AA53" i="2" s="1"/>
  <c r="AC52" i="2"/>
  <c r="AC53" i="2" s="1"/>
  <c r="AF52" i="2"/>
  <c r="AF53" i="2" s="1"/>
  <c r="AH52" i="2"/>
  <c r="AH53" i="2" s="1"/>
  <c r="AJ52" i="2"/>
  <c r="AJ53" i="2" s="1"/>
  <c r="AM52" i="2"/>
  <c r="AM53" i="2" s="1"/>
  <c r="E15" i="2"/>
  <c r="AC15" i="2"/>
  <c r="AK15" i="2"/>
  <c r="L15" i="2"/>
  <c r="T15" i="2"/>
  <c r="AE15" i="2"/>
  <c r="N15" i="2"/>
  <c r="X15" i="2"/>
  <c r="O15" i="2"/>
  <c r="Y15" i="2"/>
  <c r="AG15" i="2"/>
  <c r="H15" i="2"/>
  <c r="P15" i="2"/>
  <c r="AI15" i="2"/>
  <c r="R15" i="2"/>
  <c r="AB15" i="2"/>
  <c r="K15" i="2"/>
  <c r="F15" i="2"/>
  <c r="AD15" i="2"/>
  <c r="AL15" i="2"/>
  <c r="M15" i="2"/>
  <c r="U15" i="2"/>
  <c r="W15" i="2"/>
  <c r="AM15" i="2"/>
  <c r="V15" i="2"/>
  <c r="AF15" i="2"/>
  <c r="G15" i="2"/>
  <c r="Z15" i="2"/>
  <c r="AH15" i="2"/>
  <c r="I15" i="2"/>
  <c r="Q15" i="2"/>
  <c r="AA15" i="2"/>
  <c r="J15" i="2"/>
  <c r="AJ15" i="2"/>
  <c r="S15" i="2"/>
  <c r="F14" i="2"/>
  <c r="AE14" i="2"/>
  <c r="I14" i="2"/>
  <c r="K14" i="2"/>
  <c r="U14" i="2"/>
  <c r="I33" i="2"/>
  <c r="Q33" i="2"/>
  <c r="Y33" i="2"/>
  <c r="AG33" i="2"/>
  <c r="AF28" i="2"/>
  <c r="F28" i="2"/>
  <c r="O28" i="2"/>
  <c r="W28" i="2"/>
  <c r="AE28" i="2"/>
  <c r="K9" i="2"/>
  <c r="S9" i="2"/>
  <c r="AA9" i="2"/>
  <c r="AJ9" i="2"/>
  <c r="AJ10" i="2" s="1"/>
  <c r="AE54" i="2"/>
  <c r="AE63" i="2" s="1"/>
  <c r="Z39" i="2"/>
  <c r="C35" i="8"/>
  <c r="Z54" i="2"/>
  <c r="Z63" i="2" s="1"/>
  <c r="S39" i="2"/>
  <c r="C8" i="8"/>
  <c r="AM39" i="2"/>
  <c r="AG39" i="2"/>
  <c r="C27" i="8"/>
  <c r="E54" i="2"/>
  <c r="Q54" i="2"/>
  <c r="Q63" i="2" s="1"/>
  <c r="AA39" i="2"/>
  <c r="L39" i="2"/>
  <c r="I54" i="2"/>
  <c r="I63" i="2" s="1"/>
  <c r="F33" i="2"/>
  <c r="P9" i="2"/>
  <c r="AF54" i="2"/>
  <c r="AF63" i="2" s="1"/>
  <c r="C38" i="8"/>
  <c r="C21" i="8"/>
  <c r="M54" i="2"/>
  <c r="M63" i="2" s="1"/>
  <c r="Z14" i="2"/>
  <c r="G33" i="2"/>
  <c r="AE33" i="2"/>
  <c r="M28" i="2"/>
  <c r="I9" i="2"/>
  <c r="G54" i="2"/>
  <c r="G63" i="2" s="1"/>
  <c r="AC54" i="2"/>
  <c r="AC63" i="2" s="1"/>
  <c r="AG54" i="2"/>
  <c r="AG63" i="2" s="1"/>
  <c r="W54" i="2"/>
  <c r="W63" i="2" s="1"/>
  <c r="W14" i="2"/>
  <c r="P33" i="2"/>
  <c r="AM28" i="2"/>
  <c r="AD28" i="2"/>
  <c r="Z9" i="2"/>
  <c r="AI54" i="2"/>
  <c r="AI63" i="2" s="1"/>
  <c r="F39" i="2"/>
  <c r="X54" i="2"/>
  <c r="X63" i="2" s="1"/>
  <c r="AC39" i="2"/>
  <c r="V39" i="2"/>
  <c r="N14" i="2"/>
  <c r="AM14" i="2"/>
  <c r="Q14" i="2"/>
  <c r="S14" i="2"/>
  <c r="AC14" i="2"/>
  <c r="J33" i="2"/>
  <c r="R33" i="2"/>
  <c r="Z33" i="2"/>
  <c r="AH33" i="2"/>
  <c r="AG28" i="2"/>
  <c r="G28" i="2"/>
  <c r="P28" i="2"/>
  <c r="X28" i="2"/>
  <c r="E28" i="2"/>
  <c r="L9" i="2"/>
  <c r="T9" i="2"/>
  <c r="AB9" i="2"/>
  <c r="AK9" i="2"/>
  <c r="AK10" i="2" s="1"/>
  <c r="C12" i="8"/>
  <c r="K39" i="2"/>
  <c r="N54" i="2"/>
  <c r="N63" i="2" s="1"/>
  <c r="C40" i="8"/>
  <c r="C13" i="8"/>
  <c r="AJ39" i="2"/>
  <c r="Y39" i="2"/>
  <c r="AK39" i="2"/>
  <c r="L54" i="2"/>
  <c r="L63" i="2" s="1"/>
  <c r="C9" i="8"/>
  <c r="C20" i="8"/>
  <c r="C17" i="8"/>
  <c r="C14" i="8"/>
  <c r="W39" i="2"/>
  <c r="I39" i="2"/>
  <c r="E39" i="2"/>
  <c r="M39" i="2"/>
  <c r="AF39" i="2"/>
  <c r="C29" i="8"/>
  <c r="C26" i="8"/>
  <c r="O39" i="2"/>
  <c r="AK28" i="2"/>
  <c r="AG9" i="2"/>
  <c r="AH39" i="2"/>
  <c r="P54" i="2"/>
  <c r="P63" i="2" s="1"/>
  <c r="R39" i="2"/>
  <c r="C31" i="8"/>
  <c r="T54" i="2"/>
  <c r="T63" i="2" s="1"/>
  <c r="C19" i="8"/>
  <c r="O14" i="2"/>
  <c r="O33" i="2"/>
  <c r="AM33" i="2"/>
  <c r="AL28" i="2"/>
  <c r="U28" i="2"/>
  <c r="Q9" i="2"/>
  <c r="C30" i="8"/>
  <c r="J54" i="2"/>
  <c r="J63" i="2" s="1"/>
  <c r="AB54" i="2"/>
  <c r="AB63" i="2" s="1"/>
  <c r="J39" i="2"/>
  <c r="AJ14" i="2"/>
  <c r="H33" i="2"/>
  <c r="X33" i="2"/>
  <c r="I28" i="2"/>
  <c r="N28" i="2"/>
  <c r="R9" i="2"/>
  <c r="AI9" i="2"/>
  <c r="AI10" i="2" s="1"/>
  <c r="AM54" i="2"/>
  <c r="AM63" i="2" s="1"/>
  <c r="C36" i="8"/>
  <c r="AB39" i="2"/>
  <c r="V14" i="2"/>
  <c r="H14" i="2"/>
  <c r="Y14" i="2"/>
  <c r="AA14" i="2"/>
  <c r="AK14" i="2"/>
  <c r="K33" i="2"/>
  <c r="S33" i="2"/>
  <c r="AA33" i="2"/>
  <c r="AI33" i="2"/>
  <c r="AH28" i="2"/>
  <c r="H28" i="2"/>
  <c r="Q28" i="2"/>
  <c r="Y28" i="2"/>
  <c r="E9" i="2"/>
  <c r="M9" i="2"/>
  <c r="U9" i="2"/>
  <c r="AC9" i="2"/>
  <c r="AL9" i="2"/>
  <c r="AL10" i="2" s="1"/>
  <c r="AJ54" i="2"/>
  <c r="AJ63" i="2" s="1"/>
  <c r="C11" i="8"/>
  <c r="C6" i="8"/>
  <c r="AK54" i="2"/>
  <c r="AK63" i="2" s="1"/>
  <c r="H39" i="2"/>
  <c r="C24" i="8"/>
  <c r="L28" i="2"/>
  <c r="C33" i="8"/>
  <c r="E14" i="2"/>
  <c r="W33" i="2"/>
  <c r="AC28" i="2"/>
  <c r="AH9" i="2"/>
  <c r="AD39" i="2"/>
  <c r="AA54" i="2"/>
  <c r="AA63" i="2" s="1"/>
  <c r="C32" i="8"/>
  <c r="AH14" i="2"/>
  <c r="V28" i="2"/>
  <c r="V54" i="2"/>
  <c r="V63" i="2" s="1"/>
  <c r="Y54" i="2"/>
  <c r="Y63" i="2" s="1"/>
  <c r="Q39" i="2"/>
  <c r="N39" i="2"/>
  <c r="AD14" i="2"/>
  <c r="P14" i="2"/>
  <c r="AG14" i="2"/>
  <c r="AI14" i="2"/>
  <c r="L33" i="2"/>
  <c r="T33" i="2"/>
  <c r="AB33" i="2"/>
  <c r="AJ33" i="2"/>
  <c r="AI28" i="2"/>
  <c r="J28" i="2"/>
  <c r="R28" i="2"/>
  <c r="Z28" i="2"/>
  <c r="F9" i="2"/>
  <c r="N9" i="2"/>
  <c r="V9" i="2"/>
  <c r="AE9" i="2"/>
  <c r="AM9" i="2"/>
  <c r="AM10" i="2" s="1"/>
  <c r="T39" i="2"/>
  <c r="C28" i="8"/>
  <c r="AD54" i="2"/>
  <c r="AD63" i="2" s="1"/>
  <c r="C18" i="8"/>
  <c r="AI39" i="2"/>
  <c r="R54" i="2"/>
  <c r="R63" i="2" s="1"/>
  <c r="G39" i="2"/>
  <c r="C16" i="8"/>
  <c r="C22" i="8"/>
  <c r="C37" i="8"/>
  <c r="AL33" i="2"/>
  <c r="AE39" i="2"/>
  <c r="C39" i="8"/>
  <c r="AB14" i="2"/>
  <c r="Y9" i="2"/>
  <c r="P39" i="2"/>
  <c r="AH54" i="2"/>
  <c r="AH63" i="2" s="1"/>
  <c r="AL39" i="2"/>
  <c r="M14" i="2"/>
  <c r="AF33" i="2"/>
  <c r="J9" i="2"/>
  <c r="C34" i="8"/>
  <c r="K54" i="2"/>
  <c r="K63" i="2" s="1"/>
  <c r="AL14" i="2"/>
  <c r="X14" i="2"/>
  <c r="J14" i="2"/>
  <c r="L14" i="2"/>
  <c r="E33" i="2"/>
  <c r="M33" i="2"/>
  <c r="U33" i="2"/>
  <c r="AC33" i="2"/>
  <c r="AK33" i="2"/>
  <c r="AJ28" i="2"/>
  <c r="K28" i="2"/>
  <c r="S28" i="2"/>
  <c r="AA28" i="2"/>
  <c r="G9" i="2"/>
  <c r="O9" i="2"/>
  <c r="W9" i="2"/>
  <c r="AF9" i="2"/>
  <c r="AD9" i="2"/>
  <c r="X39" i="2"/>
  <c r="U54" i="2"/>
  <c r="U63" i="2" s="1"/>
  <c r="C23" i="8"/>
  <c r="AL54" i="2"/>
  <c r="AL63" i="2" s="1"/>
  <c r="U39" i="2"/>
  <c r="C10" i="8"/>
  <c r="C25" i="8"/>
  <c r="S54" i="2"/>
  <c r="S63" i="2" s="1"/>
  <c r="F54" i="2"/>
  <c r="F63" i="2" s="1"/>
  <c r="H54" i="2"/>
  <c r="H63" i="2" s="1"/>
  <c r="O54" i="2"/>
  <c r="O63" i="2" s="1"/>
  <c r="C15" i="8"/>
  <c r="C7" i="8"/>
  <c r="G14" i="2"/>
  <c r="AF14" i="2"/>
  <c r="R14" i="2"/>
  <c r="T14" i="2"/>
  <c r="N33" i="2"/>
  <c r="V33" i="2"/>
  <c r="AD33" i="2"/>
  <c r="T28" i="2"/>
  <c r="AB28" i="2"/>
  <c r="H9" i="2"/>
  <c r="X9" i="2"/>
  <c r="H23" i="5"/>
  <c r="H35" i="5" s="1"/>
  <c r="H104" i="5" s="1"/>
  <c r="D104" i="5" s="1"/>
  <c r="O16" i="2"/>
  <c r="K11" i="2"/>
  <c r="K12" i="2"/>
  <c r="S11" i="2"/>
  <c r="S12" i="2"/>
  <c r="AA11" i="2"/>
  <c r="AA12" i="2"/>
  <c r="AJ11" i="2"/>
  <c r="AJ12" i="2"/>
  <c r="P11" i="2"/>
  <c r="P12" i="2"/>
  <c r="I11" i="2"/>
  <c r="I12" i="2"/>
  <c r="Z11" i="2"/>
  <c r="Z12" i="2"/>
  <c r="L11" i="2"/>
  <c r="L12" i="2"/>
  <c r="T11" i="2"/>
  <c r="T12" i="2"/>
  <c r="AB11" i="2"/>
  <c r="AB12" i="2"/>
  <c r="AK11" i="2"/>
  <c r="AK12" i="2"/>
  <c r="AG11" i="2"/>
  <c r="AG12" i="2"/>
  <c r="Q11" i="2"/>
  <c r="Q12" i="2"/>
  <c r="R11" i="2"/>
  <c r="R12" i="2"/>
  <c r="AI11" i="2"/>
  <c r="AI12" i="2"/>
  <c r="M11" i="2"/>
  <c r="M12" i="2"/>
  <c r="AC11" i="2"/>
  <c r="AC12" i="2"/>
  <c r="AL11" i="2"/>
  <c r="AL12" i="2"/>
  <c r="AH11" i="2"/>
  <c r="AH12" i="2"/>
  <c r="F11" i="2"/>
  <c r="F12" i="2"/>
  <c r="N11" i="2"/>
  <c r="N12" i="2"/>
  <c r="V11" i="2"/>
  <c r="V12" i="2"/>
  <c r="AE11" i="2"/>
  <c r="AE12" i="2"/>
  <c r="AM11" i="2"/>
  <c r="AM12" i="2"/>
  <c r="Y11" i="2"/>
  <c r="Y12" i="2"/>
  <c r="J11" i="2"/>
  <c r="J12" i="2"/>
  <c r="G11" i="2"/>
  <c r="G12" i="2"/>
  <c r="O11" i="2"/>
  <c r="O12" i="2"/>
  <c r="AD11" i="2"/>
  <c r="AD12" i="2"/>
  <c r="H11" i="2"/>
  <c r="H12" i="2"/>
  <c r="X11" i="2"/>
  <c r="X12" i="2"/>
  <c r="E11" i="2"/>
  <c r="E12" i="2"/>
  <c r="U32" i="2"/>
  <c r="U11" i="2"/>
  <c r="W32" i="2"/>
  <c r="W11" i="2"/>
  <c r="AF16" i="2"/>
  <c r="AF11" i="2"/>
  <c r="Y16" i="2"/>
  <c r="Y32" i="2"/>
  <c r="J32" i="2"/>
  <c r="J16" i="2"/>
  <c r="AI29" i="2"/>
  <c r="AI32" i="2"/>
  <c r="AI16" i="2"/>
  <c r="W16" i="2"/>
  <c r="G16" i="2"/>
  <c r="G32" i="2"/>
  <c r="O32" i="2"/>
  <c r="H16" i="2"/>
  <c r="H32" i="2"/>
  <c r="AD29" i="2"/>
  <c r="AD32" i="2"/>
  <c r="AD16" i="2"/>
  <c r="X16" i="2"/>
  <c r="X32" i="2"/>
  <c r="R32" i="2"/>
  <c r="R16" i="2"/>
  <c r="AG29" i="2"/>
  <c r="AG32" i="2"/>
  <c r="AG16" i="2"/>
  <c r="Q32" i="2"/>
  <c r="Q16" i="2"/>
  <c r="E16" i="2"/>
  <c r="E32" i="2"/>
  <c r="AC32" i="2"/>
  <c r="AC16" i="2"/>
  <c r="AL32" i="2"/>
  <c r="AL16" i="2"/>
  <c r="AH16" i="2"/>
  <c r="AH32" i="2"/>
  <c r="F32" i="2"/>
  <c r="F16" i="2"/>
  <c r="AE32" i="2"/>
  <c r="AE16" i="2"/>
  <c r="AM32" i="2"/>
  <c r="AM29" i="2"/>
  <c r="M52" i="2"/>
  <c r="M53" i="2" s="1"/>
  <c r="M32" i="2"/>
  <c r="M16" i="2"/>
  <c r="U13" i="2"/>
  <c r="U16" i="2"/>
  <c r="N52" i="2"/>
  <c r="N53" i="2" s="1"/>
  <c r="N32" i="2"/>
  <c r="N16" i="2"/>
  <c r="V29" i="2"/>
  <c r="V32" i="2"/>
  <c r="V16" i="2"/>
  <c r="AM13" i="2"/>
  <c r="K52" i="2"/>
  <c r="K53" i="2" s="1"/>
  <c r="K16" i="2"/>
  <c r="K32" i="2"/>
  <c r="S16" i="2"/>
  <c r="S32" i="2"/>
  <c r="AA32" i="2"/>
  <c r="AA16" i="2"/>
  <c r="AJ32" i="2"/>
  <c r="AJ13" i="2"/>
  <c r="AJ29" i="2"/>
  <c r="AJ16" i="2"/>
  <c r="P16" i="2"/>
  <c r="P32" i="2"/>
  <c r="I16" i="2"/>
  <c r="I32" i="2"/>
  <c r="Z13" i="2"/>
  <c r="Z16" i="2"/>
  <c r="Z32" i="2"/>
  <c r="L52" i="2"/>
  <c r="L53" i="2" s="1"/>
  <c r="L16" i="2"/>
  <c r="L32" i="2"/>
  <c r="T16" i="2"/>
  <c r="T32" i="2"/>
  <c r="AB13" i="2"/>
  <c r="AB32" i="2"/>
  <c r="AB16" i="2"/>
  <c r="AK29" i="2"/>
  <c r="AK16" i="2"/>
  <c r="AK32" i="2"/>
  <c r="AM16" i="2"/>
  <c r="AF29" i="2"/>
  <c r="AF32" i="2"/>
  <c r="I52" i="2"/>
  <c r="I53" i="2" s="1"/>
  <c r="E52" i="2"/>
  <c r="F13" i="2"/>
  <c r="F52" i="2"/>
  <c r="F53" i="2" s="1"/>
  <c r="J13" i="2"/>
  <c r="J52" i="2"/>
  <c r="J53" i="2" s="1"/>
  <c r="G52" i="2"/>
  <c r="G53" i="2" s="1"/>
  <c r="H13" i="2"/>
  <c r="H52" i="2"/>
  <c r="H53" i="2" s="1"/>
  <c r="G13" i="2"/>
  <c r="X29" i="2"/>
  <c r="T29" i="2"/>
  <c r="L13" i="2"/>
  <c r="Q13" i="2"/>
  <c r="M13" i="2"/>
  <c r="AE13" i="2"/>
  <c r="Y13" i="2"/>
  <c r="Y29" i="2"/>
  <c r="Z29" i="2"/>
  <c r="X13" i="2"/>
  <c r="I13" i="2"/>
  <c r="T13" i="2"/>
  <c r="P13" i="2"/>
  <c r="P29" i="2"/>
  <c r="AE29" i="2"/>
  <c r="N13" i="2"/>
  <c r="U29" i="2"/>
  <c r="AG13" i="2"/>
  <c r="S29" i="2"/>
  <c r="AC13" i="2"/>
  <c r="AA29" i="2"/>
  <c r="AL13" i="2"/>
  <c r="AL29" i="2"/>
  <c r="K13" i="2"/>
  <c r="O13" i="2"/>
  <c r="AB29" i="2"/>
  <c r="AH29" i="2"/>
  <c r="AF13" i="2"/>
  <c r="E13" i="2"/>
  <c r="W29" i="2"/>
  <c r="V13" i="2"/>
  <c r="AI13" i="2"/>
  <c r="W13" i="2"/>
  <c r="AK13" i="2"/>
  <c r="AD13" i="2"/>
  <c r="AH13" i="2"/>
  <c r="S13" i="2"/>
  <c r="AA13" i="2"/>
  <c r="R13" i="2"/>
  <c r="R29" i="2"/>
  <c r="AC29" i="2"/>
  <c r="O29" i="2"/>
  <c r="M29" i="2"/>
  <c r="F29" i="2"/>
  <c r="L29" i="2"/>
  <c r="I29" i="2"/>
  <c r="Q29" i="2"/>
  <c r="G29" i="2"/>
  <c r="K29" i="2"/>
  <c r="J29" i="2"/>
  <c r="H29" i="2"/>
  <c r="N29" i="2"/>
  <c r="E29" i="2"/>
  <c r="X10" i="2" l="1"/>
  <c r="H10" i="2"/>
  <c r="AD10" i="2"/>
  <c r="O10" i="2"/>
  <c r="G10" i="2"/>
  <c r="J10" i="2"/>
  <c r="Y10" i="2"/>
  <c r="AE10" i="2"/>
  <c r="V10" i="2"/>
  <c r="N10" i="2"/>
  <c r="F10" i="2"/>
  <c r="AH10" i="2"/>
  <c r="AC10" i="2"/>
  <c r="M10" i="2"/>
  <c r="E10" i="2"/>
  <c r="R10" i="2"/>
  <c r="Q10" i="2"/>
  <c r="AG10" i="2"/>
  <c r="AB10" i="2"/>
  <c r="T10" i="2"/>
  <c r="L10" i="2"/>
  <c r="Z10" i="2"/>
  <c r="I10" i="2"/>
  <c r="P10" i="2"/>
  <c r="AA10" i="2"/>
  <c r="S10" i="2"/>
  <c r="K10" i="2"/>
  <c r="E53" i="2"/>
  <c r="D12" i="3" s="1"/>
  <c r="C12" i="3"/>
  <c r="D15" i="3"/>
  <c r="C15" i="3"/>
  <c r="E7" i="8"/>
  <c r="D7" i="8"/>
  <c r="D15" i="8"/>
  <c r="E15" i="8"/>
  <c r="D25" i="8"/>
  <c r="E25" i="8"/>
  <c r="D10" i="8"/>
  <c r="E10" i="8"/>
  <c r="U40" i="2"/>
  <c r="G22" i="8" s="1" a="1"/>
  <c r="G22" i="8" s="1"/>
  <c r="F22" i="8" a="1"/>
  <c r="F22" i="8" s="1"/>
  <c r="E23" i="8"/>
  <c r="D23" i="8"/>
  <c r="F25" i="8" a="1"/>
  <c r="F25" i="8" s="1"/>
  <c r="X40" i="2"/>
  <c r="G25" i="8" s="1" a="1"/>
  <c r="G25" i="8" s="1"/>
  <c r="AF12" i="2"/>
  <c r="AF10" i="2"/>
  <c r="W12" i="2"/>
  <c r="W10" i="2"/>
  <c r="D34" i="8"/>
  <c r="E34" i="8"/>
  <c r="AL40" i="2"/>
  <c r="G39" i="8" s="1" a="1"/>
  <c r="G39" i="8" s="1"/>
  <c r="F39" i="8" a="1"/>
  <c r="F39" i="8" s="1"/>
  <c r="P40" i="2"/>
  <c r="G17" i="8" s="1" a="1"/>
  <c r="G17" i="8" s="1"/>
  <c r="F17" i="8" a="1"/>
  <c r="F17" i="8" s="1"/>
  <c r="D39" i="8"/>
  <c r="H39" i="8" s="1"/>
  <c r="E39" i="8"/>
  <c r="I39" i="8" s="1"/>
  <c r="F32" i="8" a="1"/>
  <c r="F32" i="8" s="1"/>
  <c r="AE40" i="2"/>
  <c r="G32" i="8" s="1" a="1"/>
  <c r="G32" i="8" s="1"/>
  <c r="D37" i="8"/>
  <c r="E37" i="8"/>
  <c r="D22" i="8"/>
  <c r="H22" i="8" s="1"/>
  <c r="E22" i="8"/>
  <c r="D16" i="8"/>
  <c r="E16" i="8"/>
  <c r="G40" i="2"/>
  <c r="G8" i="8" s="1" a="1"/>
  <c r="G8" i="8" s="1"/>
  <c r="F8" i="8" a="1"/>
  <c r="F8" i="8" s="1"/>
  <c r="F36" i="8" a="1"/>
  <c r="F36" i="8" s="1"/>
  <c r="AI40" i="2"/>
  <c r="G36" i="8" s="1" a="1"/>
  <c r="G36" i="8" s="1"/>
  <c r="E18" i="8"/>
  <c r="D18" i="8"/>
  <c r="E28" i="8"/>
  <c r="D28" i="8"/>
  <c r="F21" i="8" a="1"/>
  <c r="F21" i="8" s="1"/>
  <c r="T40" i="2"/>
  <c r="G21" i="8" s="1" a="1"/>
  <c r="G21" i="8" s="1"/>
  <c r="F15" i="8" a="1"/>
  <c r="F15" i="8" s="1"/>
  <c r="N40" i="2"/>
  <c r="G15" i="8" s="1" a="1"/>
  <c r="G15" i="8" s="1"/>
  <c r="Q40" i="2"/>
  <c r="G18" i="8" s="1" a="1"/>
  <c r="G18" i="8" s="1"/>
  <c r="F18" i="8" a="1"/>
  <c r="F18" i="8" s="1"/>
  <c r="E32" i="8"/>
  <c r="I32" i="8" s="1"/>
  <c r="D32" i="8"/>
  <c r="H32" i="8" s="1"/>
  <c r="F31" i="8" a="1"/>
  <c r="F31" i="8" s="1"/>
  <c r="AD40" i="2"/>
  <c r="G31" i="8" s="1" a="1"/>
  <c r="G31" i="8" s="1"/>
  <c r="C16" i="3"/>
  <c r="D16" i="3"/>
  <c r="E33" i="8"/>
  <c r="D33" i="8"/>
  <c r="E24" i="8"/>
  <c r="D24" i="8"/>
  <c r="F9" i="8" a="1"/>
  <c r="F9" i="8" s="1"/>
  <c r="H40" i="2"/>
  <c r="G9" i="8" s="1" a="1"/>
  <c r="G9" i="8" s="1"/>
  <c r="E6" i="8"/>
  <c r="C41" i="8"/>
  <c r="D6" i="8"/>
  <c r="D11" i="8"/>
  <c r="E11" i="8"/>
  <c r="U12" i="2"/>
  <c r="U10" i="2"/>
  <c r="F29" i="8" a="1"/>
  <c r="F29" i="8" s="1"/>
  <c r="AB40" i="2"/>
  <c r="G29" i="8" s="1" a="1"/>
  <c r="G29" i="8" s="1"/>
  <c r="E36" i="8"/>
  <c r="I36" i="8" s="1"/>
  <c r="D36" i="8"/>
  <c r="H36" i="8" s="1"/>
  <c r="J40" i="2"/>
  <c r="G11" i="8" s="1" a="1"/>
  <c r="G11" i="8" s="1"/>
  <c r="F11" i="8" a="1"/>
  <c r="F11" i="8" s="1"/>
  <c r="D30" i="8"/>
  <c r="E30" i="8"/>
  <c r="E19" i="8"/>
  <c r="D19" i="8"/>
  <c r="D31" i="8"/>
  <c r="H31" i="8" s="1"/>
  <c r="E31" i="8"/>
  <c r="I31" i="8" s="1"/>
  <c r="F19" i="8" a="1"/>
  <c r="F19" i="8" s="1"/>
  <c r="R40" i="2"/>
  <c r="G19" i="8" s="1" a="1"/>
  <c r="G19" i="8" s="1"/>
  <c r="AH40" i="2"/>
  <c r="G35" i="8" s="1" a="1"/>
  <c r="G35" i="8" s="1"/>
  <c r="F35" i="8" a="1"/>
  <c r="F35" i="8" s="1"/>
  <c r="F16" i="8" a="1"/>
  <c r="F16" i="8" s="1"/>
  <c r="O40" i="2"/>
  <c r="G16" i="8" s="1" a="1"/>
  <c r="G16" i="8" s="1"/>
  <c r="E26" i="8"/>
  <c r="D26" i="8"/>
  <c r="D29" i="8"/>
  <c r="H29" i="8" s="1"/>
  <c r="E29" i="8"/>
  <c r="I29" i="8" s="1"/>
  <c r="F33" i="8" a="1"/>
  <c r="F33" i="8" s="1"/>
  <c r="AF40" i="2"/>
  <c r="G33" i="8" s="1" a="1"/>
  <c r="G33" i="8" s="1"/>
  <c r="M40" i="2"/>
  <c r="G14" i="8" s="1" a="1"/>
  <c r="G14" i="8" s="1"/>
  <c r="F14" i="8" a="1"/>
  <c r="F14" i="8" s="1"/>
  <c r="E40" i="2"/>
  <c r="F6" i="8" a="1"/>
  <c r="F6" i="8" s="1"/>
  <c r="I40" i="2"/>
  <c r="G10" i="8" s="1" a="1"/>
  <c r="G10" i="8" s="1"/>
  <c r="F10" i="8" a="1"/>
  <c r="F10" i="8" s="1"/>
  <c r="W40" i="2"/>
  <c r="G24" i="8" s="1" a="1"/>
  <c r="G24" i="8" s="1"/>
  <c r="F24" i="8" a="1"/>
  <c r="F24" i="8" s="1"/>
  <c r="E14" i="8"/>
  <c r="I14" i="8" s="1"/>
  <c r="D14" i="8"/>
  <c r="H14" i="8" s="1"/>
  <c r="D17" i="8"/>
  <c r="E17" i="8"/>
  <c r="I17" i="8" s="1"/>
  <c r="E20" i="8"/>
  <c r="D20" i="8"/>
  <c r="E9" i="8"/>
  <c r="I9" i="8" s="1"/>
  <c r="D9" i="8"/>
  <c r="H9" i="8" s="1"/>
  <c r="AK40" i="2"/>
  <c r="G38" i="8" s="1" a="1"/>
  <c r="G38" i="8" s="1"/>
  <c r="F38" i="8" a="1"/>
  <c r="F38" i="8" s="1"/>
  <c r="Y40" i="2"/>
  <c r="G26" i="8" s="1" a="1"/>
  <c r="G26" i="8" s="1"/>
  <c r="F26" i="8" a="1"/>
  <c r="F26" i="8" s="1"/>
  <c r="AJ40" i="2"/>
  <c r="G37" i="8" s="1" a="1"/>
  <c r="G37" i="8" s="1"/>
  <c r="F37" i="8" a="1"/>
  <c r="F37" i="8" s="1"/>
  <c r="D13" i="8"/>
  <c r="E13" i="8"/>
  <c r="E40" i="8"/>
  <c r="D40" i="8"/>
  <c r="F12" i="8" a="1"/>
  <c r="F12" i="8" s="1"/>
  <c r="K40" i="2"/>
  <c r="G12" i="8" s="1" a="1"/>
  <c r="G12" i="8" s="1"/>
  <c r="E12" i="8"/>
  <c r="I12" i="8" s="1"/>
  <c r="D12" i="8"/>
  <c r="F23" i="8" a="1"/>
  <c r="F23" i="8" s="1"/>
  <c r="V40" i="2"/>
  <c r="G23" i="8" s="1" a="1"/>
  <c r="G23" i="8" s="1"/>
  <c r="F30" i="8" a="1"/>
  <c r="F30" i="8" s="1"/>
  <c r="AC40" i="2"/>
  <c r="G30" i="8" s="1" a="1"/>
  <c r="G30" i="8" s="1"/>
  <c r="F40" i="2"/>
  <c r="G7" i="8" s="1" a="1"/>
  <c r="G7" i="8" s="1"/>
  <c r="F7" i="8" a="1"/>
  <c r="F7" i="8" s="1"/>
  <c r="E21" i="8"/>
  <c r="D21" i="8"/>
  <c r="H21" i="8" s="1"/>
  <c r="E38" i="8"/>
  <c r="I38" i="8" s="1"/>
  <c r="D38" i="8"/>
  <c r="H38" i="8" s="1"/>
  <c r="F13" i="8" a="1"/>
  <c r="F13" i="8" s="1"/>
  <c r="L40" i="2"/>
  <c r="G13" i="8" s="1" a="1"/>
  <c r="G13" i="8" s="1"/>
  <c r="F28" i="8" a="1"/>
  <c r="F28" i="8" s="1"/>
  <c r="AA40" i="2"/>
  <c r="G28" i="8" s="1" a="1"/>
  <c r="G28" i="8" s="1"/>
  <c r="D13" i="3"/>
  <c r="E63" i="2"/>
  <c r="E27" i="8"/>
  <c r="D27" i="8"/>
  <c r="F34" i="8" a="1"/>
  <c r="F34" i="8" s="1"/>
  <c r="AG40" i="2"/>
  <c r="G34" i="8" s="1" a="1"/>
  <c r="G34" i="8" s="1"/>
  <c r="AM40" i="2"/>
  <c r="G40" i="8" s="1" a="1"/>
  <c r="G40" i="8" s="1"/>
  <c r="F40" i="8" a="1"/>
  <c r="F40" i="8" s="1"/>
  <c r="D8" i="8"/>
  <c r="H8" i="8" s="1"/>
  <c r="E8" i="8"/>
  <c r="I8" i="8" s="1"/>
  <c r="F20" i="8" a="1"/>
  <c r="F20" i="8" s="1"/>
  <c r="S40" i="2"/>
  <c r="G20" i="8" s="1" a="1"/>
  <c r="G20" i="8" s="1"/>
  <c r="E35" i="8"/>
  <c r="D35" i="8"/>
  <c r="H35" i="8" s="1"/>
  <c r="Z40" i="2"/>
  <c r="G27" i="8" s="1" a="1"/>
  <c r="G27" i="8" s="1"/>
  <c r="F27" i="8" a="1"/>
  <c r="F27" i="8" s="1"/>
  <c r="H27" i="8" l="1"/>
  <c r="I35" i="8" s="1"/>
  <c r="I27" i="8"/>
  <c r="I28" i="8"/>
  <c r="H40" i="8"/>
  <c r="I40" i="8"/>
  <c r="I13" i="8"/>
  <c r="H13" i="8"/>
  <c r="H20" i="8"/>
  <c r="F41" i="8"/>
  <c r="G6" i="8" a="1"/>
  <c r="G6" i="8" s="1"/>
  <c r="G41" i="8" s="1"/>
  <c r="H17" i="8"/>
  <c r="H26" i="8"/>
  <c r="H19" i="8"/>
  <c r="H28" i="8" s="1"/>
  <c r="I19" i="8"/>
  <c r="I30" i="8"/>
  <c r="H30" i="8"/>
  <c r="I21" i="8" s="1"/>
  <c r="H25" i="8" s="1"/>
  <c r="I11" i="8"/>
  <c r="H11" i="8"/>
  <c r="H33" i="8" s="1"/>
  <c r="I20" i="8" s="1"/>
  <c r="I26" i="8" s="1"/>
  <c r="I22" i="8" s="1"/>
  <c r="I25" i="8" s="1"/>
  <c r="D41" i="8"/>
  <c r="H6" i="8"/>
  <c r="E41" i="8"/>
  <c r="I6" i="8"/>
  <c r="H24" i="8"/>
  <c r="I24" i="8"/>
  <c r="I33" i="8"/>
  <c r="H18" i="8"/>
  <c r="I18" i="8"/>
  <c r="I16" i="8"/>
  <c r="H16" i="8"/>
  <c r="I37" i="8"/>
  <c r="H37" i="8"/>
  <c r="H12" i="8" s="1"/>
  <c r="I34" i="8"/>
  <c r="H34" i="8"/>
  <c r="H23" i="8"/>
  <c r="I23" i="8"/>
  <c r="I10" i="8"/>
  <c r="H10" i="8"/>
  <c r="I15" i="8"/>
  <c r="H15" i="8"/>
  <c r="H7" i="8"/>
  <c r="I7" i="8"/>
  <c r="I41" i="8" l="1"/>
  <c r="H41" i="8"/>
  <c r="W62" i="2" l="1"/>
  <c r="U28" i="3" s="1"/>
  <c r="AF62" i="2"/>
  <c r="AD28" i="3" s="1"/>
  <c r="AA62" i="2"/>
  <c r="Y28" i="3" s="1"/>
  <c r="AJ62" i="2"/>
  <c r="AH28" i="3" s="1"/>
  <c r="I62" i="2"/>
  <c r="G28" i="3" s="1"/>
  <c r="Z62" i="2"/>
  <c r="X28" i="3" s="1"/>
  <c r="AB62" i="2"/>
  <c r="Z28" i="3" s="1"/>
  <c r="AK62" i="2"/>
  <c r="AI28" i="3" s="1"/>
  <c r="AG62" i="2"/>
  <c r="AE28" i="3" s="1"/>
  <c r="AI62" i="2"/>
  <c r="AG28" i="3" s="1"/>
  <c r="AC62" i="2"/>
  <c r="AA28" i="3" s="1"/>
  <c r="AL62" i="2"/>
  <c r="AJ28" i="3" s="1"/>
  <c r="AH62" i="2"/>
  <c r="AF28" i="3" s="1"/>
  <c r="AE62" i="2"/>
  <c r="AC28" i="3" s="1"/>
  <c r="AM62" i="2"/>
  <c r="AK28" i="3" s="1"/>
  <c r="Y62" i="2"/>
  <c r="W28" i="3" s="1"/>
  <c r="AD62" i="2"/>
  <c r="AB28" i="3" s="1"/>
  <c r="H62" i="2"/>
  <c r="F28" i="3" s="1"/>
  <c r="X62" i="2"/>
  <c r="V28" i="3" s="1"/>
  <c r="E62" i="2"/>
  <c r="I4" i="8"/>
  <c r="F61" i="2" l="1"/>
  <c r="C28" i="3"/>
  <c r="D9" i="3" a="1"/>
  <c r="D9" i="3" s="1"/>
  <c r="D8" i="3" a="1"/>
  <c r="D8" i="3" s="1"/>
  <c r="D27" i="3" l="1"/>
  <c r="G61" i="2"/>
  <c r="E27" i="3" l="1"/>
  <c r="H61" i="2"/>
  <c r="I61" i="2" l="1"/>
  <c r="G27" i="3" s="1"/>
  <c r="F27" i="3"/>
  <c r="J61" i="2" l="1"/>
  <c r="K61" i="2" l="1"/>
  <c r="I27" i="3" s="1"/>
  <c r="H27" i="3"/>
  <c r="L61" i="2" l="1"/>
  <c r="M61" i="2" l="1"/>
  <c r="K27" i="3" s="1"/>
  <c r="J27" i="3"/>
  <c r="N61" i="2" l="1"/>
  <c r="O61" i="2" l="1"/>
  <c r="M27" i="3" s="1"/>
  <c r="L27" i="3"/>
  <c r="P61" i="2" l="1"/>
  <c r="Q61" i="2" l="1"/>
  <c r="O27" i="3" s="1"/>
  <c r="N27" i="3"/>
  <c r="R61" i="2" l="1"/>
  <c r="S61" i="2" l="1"/>
  <c r="Q27" i="3" s="1"/>
  <c r="P27" i="3"/>
  <c r="T61" i="2" l="1"/>
  <c r="U61" i="2" l="1"/>
  <c r="S27" i="3" s="1"/>
  <c r="R27" i="3"/>
  <c r="V61" i="2" l="1"/>
  <c r="W61" i="2" l="1"/>
  <c r="U27" i="3" s="1"/>
  <c r="T27" i="3"/>
  <c r="X61" i="2" l="1"/>
  <c r="Y61" i="2" l="1"/>
  <c r="W27" i="3" s="1"/>
  <c r="V27" i="3"/>
  <c r="Z61" i="2" l="1"/>
  <c r="AA61" i="2" l="1"/>
  <c r="Y27" i="3" s="1"/>
  <c r="X27" i="3"/>
  <c r="AB61" i="2" l="1"/>
  <c r="AC61" i="2" l="1"/>
  <c r="AA27" i="3" s="1"/>
  <c r="Z27" i="3"/>
  <c r="AD61" i="2" l="1"/>
  <c r="AE61" i="2" l="1"/>
  <c r="AC27" i="3" s="1"/>
  <c r="AB27" i="3"/>
  <c r="AF61" i="2" l="1"/>
  <c r="AG61" i="2" l="1"/>
  <c r="AE27" i="3" s="1"/>
  <c r="AD27" i="3"/>
  <c r="AH61" i="2" l="1"/>
  <c r="AI61" i="2" l="1"/>
  <c r="AG27" i="3" s="1"/>
  <c r="AF27" i="3"/>
  <c r="AJ61" i="2" l="1"/>
  <c r="AK61" i="2" l="1"/>
  <c r="AI27" i="3" s="1"/>
  <c r="AH27" i="3"/>
  <c r="AL61" i="2" l="1"/>
  <c r="AM61" i="2" l="1"/>
  <c r="AK27" i="3" s="1"/>
  <c r="B74" i="5" s="1"/>
  <c r="AJ27" i="3"/>
  <c r="C9" i="3" a="1"/>
  <c r="C9" i="3" s="1"/>
  <c r="C8" i="3" a="1"/>
  <c r="C8" i="3" s="1"/>
  <c r="J19" i="2" l="1"/>
  <c r="Q19" i="2"/>
  <c r="AK21" i="2"/>
  <c r="AK25" i="2" s="1"/>
  <c r="AG31" i="2"/>
  <c r="AG35" i="2" s="1"/>
  <c r="AF31" i="2"/>
  <c r="AF35" i="2" s="1"/>
  <c r="W19" i="2"/>
  <c r="AE19" i="2"/>
  <c r="AM19" i="2"/>
  <c r="T21" i="2"/>
  <c r="T25" i="2" s="1"/>
  <c r="AB21" i="2"/>
  <c r="AB25" i="2" s="1"/>
  <c r="R31" i="2"/>
  <c r="R35" i="2" s="1"/>
  <c r="O21" i="2"/>
  <c r="O25" i="2" s="1"/>
  <c r="M21" i="2"/>
  <c r="M25" i="2" s="1"/>
  <c r="J31" i="2"/>
  <c r="J35" i="2" s="1"/>
  <c r="L19" i="2"/>
  <c r="H31" i="2"/>
  <c r="H35" i="2" s="1"/>
  <c r="AM31" i="2"/>
  <c r="AM35" i="2" s="1"/>
  <c r="AG19" i="2"/>
  <c r="V21" i="2"/>
  <c r="V25" i="2" s="1"/>
  <c r="W31" i="2"/>
  <c r="W35" i="2" s="1"/>
  <c r="F19" i="2"/>
  <c r="L31" i="2"/>
  <c r="L35" i="2" s="1"/>
  <c r="AG21" i="2"/>
  <c r="AG25" i="2" s="1"/>
  <c r="AG36" i="2" s="1"/>
  <c r="AH21" i="2"/>
  <c r="AH25" i="2" s="1"/>
  <c r="AB31" i="2"/>
  <c r="AB35" i="2" s="1"/>
  <c r="G19" i="2"/>
  <c r="P31" i="2"/>
  <c r="P35" i="2" s="1"/>
  <c r="P21" i="2"/>
  <c r="P25" i="2" s="1"/>
  <c r="P36" i="2" s="1"/>
  <c r="AE31" i="2"/>
  <c r="AE35" i="2" s="1"/>
  <c r="H19" i="2"/>
  <c r="Q21" i="2"/>
  <c r="Q25" i="2" s="1"/>
  <c r="AL21" i="2"/>
  <c r="AL25" i="2" s="1"/>
  <c r="AL31" i="2"/>
  <c r="AL35" i="2" s="1"/>
  <c r="K19" i="2"/>
  <c r="AM21" i="2"/>
  <c r="AM25" i="2" s="1"/>
  <c r="AM36" i="2" s="1"/>
  <c r="AK31" i="2"/>
  <c r="AK35" i="2" s="1"/>
  <c r="AJ31" i="2"/>
  <c r="AJ35" i="2" s="1"/>
  <c r="X19" i="2"/>
  <c r="AF19" i="2"/>
  <c r="E19" i="2"/>
  <c r="U21" i="2"/>
  <c r="U25" i="2" s="1"/>
  <c r="AC21" i="2"/>
  <c r="AC25" i="2" s="1"/>
  <c r="U31" i="2"/>
  <c r="U35" i="2" s="1"/>
  <c r="I31" i="2"/>
  <c r="I35" i="2" s="1"/>
  <c r="K31" i="2"/>
  <c r="K35" i="2" s="1"/>
  <c r="S19" i="2"/>
  <c r="G21" i="2"/>
  <c r="G25" i="2" s="1"/>
  <c r="Y19" i="2"/>
  <c r="E21" i="2"/>
  <c r="AE21" i="2"/>
  <c r="AE25" i="2" s="1"/>
  <c r="AE36" i="2" s="1"/>
  <c r="O31" i="2"/>
  <c r="O35" i="2" s="1"/>
  <c r="V31" i="2"/>
  <c r="V35" i="2" s="1"/>
  <c r="M19" i="2"/>
  <c r="T19" i="2"/>
  <c r="K21" i="2"/>
  <c r="K25" i="2" s="1"/>
  <c r="K36" i="2" s="1"/>
  <c r="AH19" i="2"/>
  <c r="W21" i="2"/>
  <c r="W25" i="2" s="1"/>
  <c r="W36" i="2" s="1"/>
  <c r="S31" i="2"/>
  <c r="S35" i="2" s="1"/>
  <c r="N19" i="2"/>
  <c r="U19" i="2"/>
  <c r="AA19" i="2"/>
  <c r="X21" i="2"/>
  <c r="X25" i="2" s="1"/>
  <c r="X31" i="2"/>
  <c r="X35" i="2" s="1"/>
  <c r="AH31" i="2"/>
  <c r="AH35" i="2" s="1"/>
  <c r="T31" i="2"/>
  <c r="T35" i="2" s="1"/>
  <c r="AB19" i="2"/>
  <c r="Y21" i="2"/>
  <c r="Y25" i="2" s="1"/>
  <c r="AD31" i="2"/>
  <c r="AD35" i="2" s="1"/>
  <c r="I19" i="2"/>
  <c r="L21" i="2"/>
  <c r="L25" i="2" s="1"/>
  <c r="L36" i="2" s="1"/>
  <c r="Z19" i="2"/>
  <c r="AA31" i="2"/>
  <c r="AA35" i="2" s="1"/>
  <c r="G31" i="2"/>
  <c r="G35" i="2" s="1"/>
  <c r="AI19" i="2"/>
  <c r="AJ21" i="2"/>
  <c r="AJ25" i="2" s="1"/>
  <c r="AJ36" i="2" s="1"/>
  <c r="O19" i="2"/>
  <c r="AD21" i="2"/>
  <c r="AD25" i="2" s="1"/>
  <c r="AD36" i="2" s="1"/>
  <c r="M31" i="2"/>
  <c r="M35" i="2" s="1"/>
  <c r="AJ19" i="2"/>
  <c r="AI31" i="2"/>
  <c r="AI35" i="2" s="1"/>
  <c r="P19" i="2"/>
  <c r="AF21" i="2"/>
  <c r="AF25" i="2" s="1"/>
  <c r="AF36" i="2" s="1"/>
  <c r="AC31" i="2"/>
  <c r="AC35" i="2" s="1"/>
  <c r="AD19" i="2"/>
  <c r="N31" i="2"/>
  <c r="N35" i="2" s="1"/>
  <c r="E31" i="2"/>
  <c r="E35" i="2" s="1"/>
  <c r="AL19" i="2"/>
  <c r="N21" i="2"/>
  <c r="N25" i="2" s="1"/>
  <c r="N36" i="2" s="1"/>
  <c r="R21" i="2"/>
  <c r="R25" i="2" s="1"/>
  <c r="R36" i="2" s="1"/>
  <c r="F21" i="2"/>
  <c r="F25" i="2" s="1"/>
  <c r="I21" i="2"/>
  <c r="I25" i="2" s="1"/>
  <c r="I36" i="2" s="1"/>
  <c r="Z21" i="2"/>
  <c r="Z25" i="2" s="1"/>
  <c r="AI21" i="2"/>
  <c r="AI25" i="2" s="1"/>
  <c r="AI36" i="2" s="1"/>
  <c r="AA21" i="2"/>
  <c r="AA25" i="2" s="1"/>
  <c r="AA36" i="2" s="1"/>
  <c r="F31" i="2"/>
  <c r="F35" i="2" s="1"/>
  <c r="Q31" i="2"/>
  <c r="Q35" i="2" s="1"/>
  <c r="AK19" i="2"/>
  <c r="H21" i="2"/>
  <c r="H25" i="2" s="1"/>
  <c r="H36" i="2" s="1"/>
  <c r="R19" i="2"/>
  <c r="Z31" i="2"/>
  <c r="Z35" i="2" s="1"/>
  <c r="J21" i="2"/>
  <c r="J25" i="2" s="1"/>
  <c r="J36" i="2" s="1"/>
  <c r="S21" i="2"/>
  <c r="S25" i="2" s="1"/>
  <c r="S36" i="2" s="1"/>
  <c r="V19" i="2"/>
  <c r="Y31" i="2"/>
  <c r="Y35" i="2" s="1"/>
  <c r="AC19" i="2"/>
  <c r="Z36" i="2" l="1"/>
  <c r="F36" i="2"/>
  <c r="D22" i="3"/>
  <c r="C22" i="3"/>
  <c r="D20" i="3"/>
  <c r="C20" i="3"/>
  <c r="Y36" i="2"/>
  <c r="X36" i="2"/>
  <c r="C18" i="3"/>
  <c r="D18" i="3"/>
  <c r="E25" i="2"/>
  <c r="G36" i="2"/>
  <c r="AC36" i="2"/>
  <c r="U36" i="2"/>
  <c r="AL36" i="2"/>
  <c r="Q36" i="2"/>
  <c r="AH36" i="2"/>
  <c r="V36" i="2"/>
  <c r="M36" i="2"/>
  <c r="O36" i="2"/>
  <c r="AB36" i="2"/>
  <c r="T36" i="2"/>
  <c r="AK36" i="2"/>
  <c r="C14" i="3" l="1"/>
  <c r="D14" i="3"/>
  <c r="E36" i="2"/>
  <c r="D21" i="3" l="1"/>
  <c r="E48" i="2"/>
  <c r="C21" i="3"/>
  <c r="E46" i="2"/>
  <c r="E61" i="2" s="1"/>
  <c r="C27" i="3" s="1"/>
  <c r="E57" i="2"/>
  <c r="E47" i="2"/>
  <c r="E49" i="2"/>
  <c r="E58" i="2"/>
  <c r="E60" i="2" l="1"/>
  <c r="F49" i="2"/>
  <c r="F48" i="2"/>
  <c r="F47" i="2"/>
  <c r="F46" i="2"/>
  <c r="F57" i="2" s="1"/>
  <c r="F59" i="2" s="1"/>
  <c r="E59" i="2"/>
  <c r="G47" i="2" l="1"/>
  <c r="G46" i="2"/>
  <c r="G57" i="2" s="1"/>
  <c r="F62" i="2"/>
  <c r="D28" i="3" s="1"/>
  <c r="F58" i="2"/>
  <c r="G49" i="2"/>
  <c r="G48" i="2"/>
  <c r="G62" i="2" l="1"/>
  <c r="E28" i="3" s="1"/>
  <c r="G58" i="2"/>
  <c r="G60" i="2" s="1"/>
  <c r="H49" i="2"/>
  <c r="H48" i="2"/>
  <c r="H58" i="2" s="1"/>
  <c r="H60" i="2" s="1"/>
  <c r="F60" i="2"/>
  <c r="G59" i="2"/>
  <c r="H47" i="2"/>
  <c r="H46" i="2"/>
  <c r="H57" i="2" s="1"/>
  <c r="H59" i="2" l="1"/>
  <c r="I47" i="2"/>
  <c r="I46" i="2"/>
  <c r="I57" i="2" s="1"/>
  <c r="I49" i="2"/>
  <c r="I48" i="2"/>
  <c r="I58" i="2" s="1"/>
  <c r="I60" i="2" l="1"/>
  <c r="J49" i="2"/>
  <c r="J48" i="2"/>
  <c r="I59" i="2"/>
  <c r="J47" i="2"/>
  <c r="J46" i="2"/>
  <c r="J57" i="2" s="1"/>
  <c r="J59" i="2" l="1"/>
  <c r="K47" i="2"/>
  <c r="K46" i="2"/>
  <c r="K57" i="2" s="1"/>
  <c r="J62" i="2"/>
  <c r="H28" i="3" s="1"/>
  <c r="J58" i="2"/>
  <c r="K49" i="2"/>
  <c r="K48" i="2"/>
  <c r="K62" i="2" l="1"/>
  <c r="I28" i="3" s="1"/>
  <c r="K58" i="2"/>
  <c r="K60" i="2" s="1"/>
  <c r="L49" i="2"/>
  <c r="L48" i="2"/>
  <c r="J60" i="2"/>
  <c r="K59" i="2"/>
  <c r="L47" i="2"/>
  <c r="L46" i="2"/>
  <c r="L57" i="2" s="1"/>
  <c r="L59" i="2" l="1"/>
  <c r="M47" i="2"/>
  <c r="M46" i="2"/>
  <c r="M57" i="2" s="1"/>
  <c r="L62" i="2"/>
  <c r="J28" i="3" s="1"/>
  <c r="L58" i="2"/>
  <c r="M49" i="2"/>
  <c r="M48" i="2"/>
  <c r="M62" i="2" l="1"/>
  <c r="K28" i="3" s="1"/>
  <c r="M58" i="2"/>
  <c r="M60" i="2" s="1"/>
  <c r="N49" i="2"/>
  <c r="N48" i="2"/>
  <c r="L60" i="2"/>
  <c r="M59" i="2"/>
  <c r="N47" i="2"/>
  <c r="N46" i="2"/>
  <c r="N57" i="2" s="1"/>
  <c r="N59" i="2" l="1"/>
  <c r="O47" i="2"/>
  <c r="O46" i="2"/>
  <c r="O57" i="2" s="1"/>
  <c r="N62" i="2"/>
  <c r="L28" i="3" s="1"/>
  <c r="N58" i="2"/>
  <c r="O49" i="2"/>
  <c r="O48" i="2"/>
  <c r="O62" i="2" l="1"/>
  <c r="M28" i="3" s="1"/>
  <c r="O58" i="2"/>
  <c r="O60" i="2" s="1"/>
  <c r="P49" i="2"/>
  <c r="P48" i="2"/>
  <c r="N60" i="2"/>
  <c r="O59" i="2"/>
  <c r="P47" i="2"/>
  <c r="P46" i="2"/>
  <c r="P57" i="2" s="1"/>
  <c r="P59" i="2" l="1"/>
  <c r="Q47" i="2"/>
  <c r="Q46" i="2"/>
  <c r="Q57" i="2" s="1"/>
  <c r="P62" i="2"/>
  <c r="N28" i="3" s="1"/>
  <c r="P58" i="2"/>
  <c r="Q49" i="2"/>
  <c r="Q48" i="2"/>
  <c r="Q62" i="2" l="1"/>
  <c r="O28" i="3" s="1"/>
  <c r="Q58" i="2"/>
  <c r="Q60" i="2" s="1"/>
  <c r="R49" i="2"/>
  <c r="R48" i="2"/>
  <c r="P60" i="2"/>
  <c r="Q59" i="2"/>
  <c r="R47" i="2"/>
  <c r="R46" i="2"/>
  <c r="R57" i="2" s="1"/>
  <c r="R59" i="2" l="1"/>
  <c r="S47" i="2"/>
  <c r="S46" i="2"/>
  <c r="S57" i="2" s="1"/>
  <c r="R62" i="2"/>
  <c r="P28" i="3" s="1"/>
  <c r="R58" i="2"/>
  <c r="S49" i="2"/>
  <c r="S48" i="2"/>
  <c r="S62" i="2" l="1"/>
  <c r="Q28" i="3" s="1"/>
  <c r="S58" i="2"/>
  <c r="S60" i="2" s="1"/>
  <c r="T49" i="2"/>
  <c r="T48" i="2"/>
  <c r="R60" i="2"/>
  <c r="S59" i="2"/>
  <c r="T47" i="2"/>
  <c r="T46" i="2"/>
  <c r="T57" i="2" s="1"/>
  <c r="T59" i="2" l="1"/>
  <c r="U47" i="2"/>
  <c r="U46" i="2"/>
  <c r="U57" i="2" s="1"/>
  <c r="T62" i="2"/>
  <c r="R28" i="3" s="1"/>
  <c r="T58" i="2"/>
  <c r="U49" i="2"/>
  <c r="U48" i="2"/>
  <c r="U62" i="2" l="1"/>
  <c r="S28" i="3" s="1"/>
  <c r="U58" i="2"/>
  <c r="U60" i="2" s="1"/>
  <c r="V49" i="2"/>
  <c r="V48" i="2"/>
  <c r="T60" i="2"/>
  <c r="U59" i="2"/>
  <c r="V47" i="2"/>
  <c r="V46" i="2"/>
  <c r="V57" i="2" s="1"/>
  <c r="V59" i="2" l="1"/>
  <c r="W47" i="2"/>
  <c r="W46" i="2"/>
  <c r="W57" i="2" s="1"/>
  <c r="V62" i="2"/>
  <c r="T28" i="3" s="1"/>
  <c r="V58" i="2"/>
  <c r="W49" i="2"/>
  <c r="W48" i="2"/>
  <c r="W58" i="2" s="1"/>
  <c r="W60" i="2" s="1"/>
  <c r="X49" i="2" l="1"/>
  <c r="X48" i="2"/>
  <c r="X58" i="2" s="1"/>
  <c r="X60" i="2" s="1"/>
  <c r="V60" i="2"/>
  <c r="W59" i="2"/>
  <c r="X47" i="2"/>
  <c r="X46" i="2"/>
  <c r="X57" i="2" s="1"/>
  <c r="X59" i="2" l="1"/>
  <c r="Y47" i="2"/>
  <c r="Y46" i="2"/>
  <c r="Y57" i="2" s="1"/>
  <c r="Y49" i="2"/>
  <c r="Y48" i="2"/>
  <c r="Y58" i="2" s="1"/>
  <c r="Y60" i="2" l="1"/>
  <c r="Z49" i="2"/>
  <c r="Z48" i="2"/>
  <c r="Z58" i="2" s="1"/>
  <c r="Y59" i="2"/>
  <c r="Z47" i="2"/>
  <c r="Z46" i="2"/>
  <c r="Z57" i="2" s="1"/>
  <c r="Z59" i="2" l="1"/>
  <c r="AA47" i="2"/>
  <c r="AA46" i="2"/>
  <c r="AA57" i="2" s="1"/>
  <c r="Z60" i="2"/>
  <c r="AA49" i="2"/>
  <c r="AA48" i="2"/>
  <c r="AA58" i="2" s="1"/>
  <c r="AA60" i="2" l="1"/>
  <c r="AB49" i="2"/>
  <c r="AB48" i="2"/>
  <c r="AB58" i="2" s="1"/>
  <c r="AA59" i="2"/>
  <c r="AB47" i="2"/>
  <c r="AB46" i="2"/>
  <c r="AB57" i="2" s="1"/>
  <c r="AB59" i="2" l="1"/>
  <c r="AC47" i="2"/>
  <c r="AC46" i="2"/>
  <c r="AC57" i="2" s="1"/>
  <c r="AB60" i="2"/>
  <c r="AC49" i="2"/>
  <c r="AC48" i="2"/>
  <c r="AC58" i="2" s="1"/>
  <c r="AC60" i="2" l="1"/>
  <c r="AD49" i="2"/>
  <c r="AD48" i="2"/>
  <c r="AD58" i="2" s="1"/>
  <c r="AC59" i="2"/>
  <c r="AD47" i="2"/>
  <c r="AD46" i="2"/>
  <c r="AD57" i="2" s="1"/>
  <c r="AD59" i="2" l="1"/>
  <c r="AE47" i="2"/>
  <c r="AE46" i="2"/>
  <c r="AE57" i="2" s="1"/>
  <c r="AD60" i="2"/>
  <c r="AE49" i="2"/>
  <c r="AE48" i="2"/>
  <c r="AE58" i="2" s="1"/>
  <c r="AE60" i="2" l="1"/>
  <c r="AF49" i="2"/>
  <c r="AF48" i="2"/>
  <c r="AF58" i="2" s="1"/>
  <c r="AE59" i="2"/>
  <c r="AF47" i="2"/>
  <c r="AF46" i="2"/>
  <c r="AF57" i="2" s="1"/>
  <c r="AF59" i="2" l="1"/>
  <c r="AG47" i="2"/>
  <c r="AG46" i="2"/>
  <c r="AG57" i="2" s="1"/>
  <c r="AF60" i="2"/>
  <c r="AG49" i="2"/>
  <c r="AG48" i="2"/>
  <c r="AG58" i="2" s="1"/>
  <c r="AG60" i="2" l="1"/>
  <c r="AH49" i="2"/>
  <c r="AH48" i="2"/>
  <c r="AH58" i="2" s="1"/>
  <c r="AG59" i="2"/>
  <c r="AH47" i="2"/>
  <c r="AH46" i="2"/>
  <c r="AH57" i="2" s="1"/>
  <c r="AH59" i="2" l="1"/>
  <c r="AI47" i="2"/>
  <c r="AI46" i="2"/>
  <c r="AI57" i="2" s="1"/>
  <c r="AH60" i="2"/>
  <c r="AI49" i="2"/>
  <c r="AI48" i="2"/>
  <c r="AI58" i="2" s="1"/>
  <c r="AI60" i="2" l="1"/>
  <c r="AJ49" i="2"/>
  <c r="AJ48" i="2"/>
  <c r="AJ58" i="2" s="1"/>
  <c r="AI59" i="2"/>
  <c r="AJ47" i="2"/>
  <c r="AJ46" i="2"/>
  <c r="AJ57" i="2" s="1"/>
  <c r="AJ59" i="2" l="1"/>
  <c r="AK47" i="2"/>
  <c r="AK46" i="2"/>
  <c r="AK57" i="2" s="1"/>
  <c r="AJ60" i="2"/>
  <c r="AK49" i="2"/>
  <c r="AK48" i="2"/>
  <c r="AK58" i="2" s="1"/>
  <c r="AK60" i="2" l="1"/>
  <c r="AL49" i="2"/>
  <c r="AL48" i="2"/>
  <c r="AL58" i="2" s="1"/>
  <c r="AK59" i="2"/>
  <c r="AL47" i="2"/>
  <c r="AL46" i="2"/>
  <c r="AL57" i="2" s="1"/>
  <c r="AL59" i="2" l="1"/>
  <c r="AM47" i="2"/>
  <c r="AM46" i="2"/>
  <c r="AM57" i="2" s="1"/>
  <c r="AL60" i="2"/>
  <c r="AM49" i="2"/>
  <c r="AM48" i="2"/>
  <c r="AM58" i="2" s="1"/>
  <c r="AM60" i="2" l="1"/>
  <c r="D6" i="3" s="1"/>
  <c r="D23" i="3" a="1"/>
  <c r="D23" i="3" s="1"/>
  <c r="D7" i="3"/>
  <c r="AM59" i="2"/>
  <c r="C6" i="3" s="1"/>
  <c r="C23" i="3" a="1"/>
  <c r="C23" i="3" s="1"/>
  <c r="C7"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<sst xmlns="http://schemas.openxmlformats.org/spreadsheetml/2006/main" count="733" uniqueCount="562">
  <si>
    <t>USER INSTRUCTIONS</t>
  </si>
  <si>
    <r>
      <t xml:space="preserve">This cash flow model is for FY27 Megawatts for Maryland applications. 
</t>
    </r>
    <r>
      <rPr>
        <i/>
        <sz val="16"/>
        <color rgb="FF0070C0"/>
        <rFont val="Aptos"/>
        <family val="2"/>
      </rPr>
      <t xml:space="preserve">This calculator is designed for use in Microsoft Excel desktop application. </t>
    </r>
    <r>
      <rPr>
        <b/>
        <i/>
        <sz val="16"/>
        <color rgb="FF0070C0"/>
        <rFont val="Aptos"/>
        <family val="2"/>
      </rPr>
      <t xml:space="preserve">The model has one tab for user inputs. </t>
    </r>
    <r>
      <rPr>
        <i/>
        <sz val="16"/>
        <color rgb="FF0070C0"/>
        <rFont val="Aptos"/>
        <family val="2"/>
      </rPr>
      <t>Guidance on its use is provided below. The other tabs are auto-calculated or for reference only.</t>
    </r>
    <r>
      <rPr>
        <i/>
        <sz val="16"/>
        <color theme="1" tint="0.249977111117893"/>
        <rFont val="Aptos"/>
        <family val="2"/>
      </rPr>
      <t xml:space="preserve">
Questions? Write to MEA at </t>
    </r>
    <r>
      <rPr>
        <i/>
        <u/>
        <sz val="16"/>
        <color theme="9" tint="-0.499984740745262"/>
        <rFont val="Aptos"/>
        <family val="2"/>
      </rPr>
      <t>grid.mea@maryland.gov</t>
    </r>
  </si>
  <si>
    <t>'USER INPUTS' TAB</t>
  </si>
  <si>
    <t>Project Identification</t>
  </si>
  <si>
    <t>Section</t>
  </si>
  <si>
    <t>Field Type</t>
  </si>
  <si>
    <t>Description</t>
  </si>
  <si>
    <t xml:space="preserve">
MEA Assigned Application ID</t>
  </si>
  <si>
    <t xml:space="preserve">
Alphanumeric input</t>
  </si>
  <si>
    <t xml:space="preserve">
Provide the Application ID assigned to the project by MEA in Stage 1 of the application.</t>
  </si>
  <si>
    <t xml:space="preserve">
Descriptive Title of Project</t>
  </si>
  <si>
    <t xml:space="preserve">
Text input</t>
  </si>
  <si>
    <t xml:space="preserve">
Enter the descriptive name of the proposed project.</t>
  </si>
  <si>
    <t xml:space="preserve">
Project Type Seeking Auction Funding</t>
  </si>
  <si>
    <t xml:space="preserve">
Dropdown selection</t>
  </si>
  <si>
    <t xml:space="preserve">
Select the project type for which auction funding is being sought.</t>
  </si>
  <si>
    <t xml:space="preserve">
Commercial Operation Date (COD) Year</t>
  </si>
  <si>
    <t xml:space="preserve">
Numerical input</t>
  </si>
  <si>
    <t xml:space="preserve">
Enter the calendar year in which the project is expected to begin commercial operations.</t>
  </si>
  <si>
    <t xml:space="preserve">
PJM Transmission Zone</t>
  </si>
  <si>
    <t xml:space="preserve">
Select the PJM transmission zone associated with the project's point of interconnection from the dropdown list. Select the applicable zone abbreviation (e.g., BGE, PEPCO, APS, or DPL).</t>
  </si>
  <si>
    <t>Project Selection and Schedule</t>
  </si>
  <si>
    <t>For the Tier 1 RE project or Storage project</t>
  </si>
  <si>
    <t xml:space="preserve">
Technology Type</t>
  </si>
  <si>
    <t xml:space="preserve">
Select the technology type associated with the Tier 1 RE or storage project. </t>
  </si>
  <si>
    <t xml:space="preserve">
Technology Subtype</t>
  </si>
  <si>
    <t xml:space="preserve">
Select the technology subtype associated with the Tier 1 RE or storage project. If the technology subtype is not listed, select Other and complete the applicable custom technology fields.</t>
  </si>
  <si>
    <t xml:space="preserve">
Nameplate Capacity (MWac)</t>
  </si>
  <si>
    <t xml:space="preserve">
Enter the planned capacity of the system in units of Megawatt-AC (alternating current). The user should use MWth for technologies providing primarily a thermal output — wastewater-to-heat and geothermal.</t>
  </si>
  <si>
    <t xml:space="preserve">
First-year Delivery to Grid (MWh)</t>
  </si>
  <si>
    <t xml:space="preserve">
Enter the estimated first-year energy delivered to the grid (MWh), before accounting for annual system degradation.
</t>
  </si>
  <si>
    <t xml:space="preserve">
System Degradation Rate (%/year)</t>
  </si>
  <si>
    <t xml:space="preserve">
Autopopulated field</t>
  </si>
  <si>
    <t xml:space="preserve">
Automatically displays the annual degradation rate based on the selected technology. For 'Other', the value must be entered manually into the additional field that appears.</t>
  </si>
  <si>
    <t xml:space="preserve">
System Lifetime (years)</t>
  </si>
  <si>
    <t xml:space="preserve">
Displays the associated system lifetime value for the selected technology type automatically, based on assumptions built into the template. For 'Other', the value must be entered manually into the additional field that appears.</t>
  </si>
  <si>
    <t xml:space="preserve">
Lifetime Delivery to Grid (MWh)</t>
  </si>
  <si>
    <t xml:space="preserve">
Auto-populated field</t>
  </si>
  <si>
    <t xml:space="preserve">
Calculates estimated lifetime energy delivery using first-year delivery, annual degradation rate, and system lifetime.</t>
  </si>
  <si>
    <t>For the Tier 1 RE project or Storage project, Technology Subtype 'Other' Only</t>
  </si>
  <si>
    <t xml:space="preserve">
Custom Technology Name</t>
  </si>
  <si>
    <t xml:space="preserve">
Enter the name of the Tier 1 Renewable or Storage Technology subtype planned for deployment. This field should be used only if none of the standard technology subtypes built into the template match the planned project.</t>
  </si>
  <si>
    <t xml:space="preserve">
Custom Technology Lifetime (years)</t>
  </si>
  <si>
    <t xml:space="preserve">
Enter the expected lifetime of the custom technology in years. Supporting documentation must be provided to substantiate this value.</t>
  </si>
  <si>
    <t xml:space="preserve">
Custom Technology Degradation Rate (%/year)</t>
  </si>
  <si>
    <t xml:space="preserve">
Enter the expected annual rate of degradation of the technology as a percentage value per year. Supporting documentation must be provided to substantiate this value.</t>
  </si>
  <si>
    <t>For Co-located Storage only</t>
  </si>
  <si>
    <t xml:space="preserve">
Battery Technology</t>
  </si>
  <si>
    <t xml:space="preserve">
Dropdown input</t>
  </si>
  <si>
    <t xml:space="preserve">
Select the co-located battery technology from the available options. If Other is selected, provide the applicable custom battery technology information.</t>
  </si>
  <si>
    <t xml:space="preserve">
Other Battery Technology Name</t>
  </si>
  <si>
    <t xml:space="preserve">
If Other is selected as the co-located battery technology, enter the name of the proposed battery technology.</t>
  </si>
  <si>
    <t xml:space="preserve">
Battery Capacity (MW)</t>
  </si>
  <si>
    <t xml:space="preserve">
Enter the capacity of the co-located battery system in terms of megawatts</t>
  </si>
  <si>
    <t xml:space="preserve">
Battery First-year Dispatch to Grid (MWh)</t>
  </si>
  <si>
    <t xml:space="preserve">
Enter the annual energy delivered to the grid in terms of megawatt-hours</t>
  </si>
  <si>
    <t xml:space="preserve">
Other Battery Technology Lifetime (years)</t>
  </si>
  <si>
    <t xml:space="preserve">
Enter the expected operating lifetime of the custom co-located battery technology in years. Required when Other is selected.</t>
  </si>
  <si>
    <t xml:space="preserve">
Other Battery Technology Degradation Rate (%/year)</t>
  </si>
  <si>
    <t xml:space="preserve">
Enter the expected annual degradation rate of the custom co-located battery technology as a percentage. Required when Other is selected.</t>
  </si>
  <si>
    <t xml:space="preserve">
Lifetime Dispatch to Grid (MWh)</t>
  </si>
  <si>
    <t xml:space="preserve">
Calculates lifetime energy dispatched from the co-located battery system using annual dispatch, system lifetime, and degradation rate. Uses reference values for listed technologies and custom inputs when Other is selected.</t>
  </si>
  <si>
    <t>Total Lifetime Delivery to Grid From Project</t>
  </si>
  <si>
    <t xml:space="preserve">
Project Lifetime Delivery to Grid (MWh)</t>
  </si>
  <si>
    <t xml:space="preserve">
Auto-calculated field</t>
  </si>
  <si>
    <t xml:space="preserve">
Calculates total project lifetime delivery. For Tier 1 RE and Storage, uses primary system lifetime delivery only. For Tier 1 RE + Storage, combines primary system lifetime delivery and co-located battery lifetime dispatch.</t>
  </si>
  <si>
    <t>Tier 1 RE - RESOURCE &amp; PERFORMANCE</t>
  </si>
  <si>
    <t xml:space="preserve">
DC/AC Ratio (ILR)</t>
  </si>
  <si>
    <t xml:space="preserve">
Automatically displays the DC capacity to AC capacity, where applicable. This is primarily relevant to solar PV projects.</t>
  </si>
  <si>
    <t xml:space="preserve">
Thermal Energy Output Factor (MWhth/MW-year)</t>
  </si>
  <si>
    <t xml:space="preserve">
Enter the expected annual thermal energy output per MW of installed capacity, where applicable. This is only applicable for technologies with a potential thermal component — geothermal, biomass, solar thermal, methane-from-waste, fuel cell, wastewater-to-heat, and poultry litter-to-energy.</t>
  </si>
  <si>
    <t xml:space="preserve">
Heat / Thermal Sale Price ($/MWhth)</t>
  </si>
  <si>
    <t xml:space="preserve">
Enter the expected selling price per MWh of thermal energy produced, where applicable. This is only applicable for technologies with a potential thermal component — geothermal, biomass, solar thermal, methane-from-waste, fuel cell, wastewater-to-heat, and poultry litter-to-energy.</t>
  </si>
  <si>
    <t xml:space="preserve">
Thermal Sale Escalation (%)</t>
  </si>
  <si>
    <t xml:space="preserve">
Enter the assumed annual percentage increase in thermal energy sale prices, where applicable. This is only applicable for technologies with a potential thermal component — geothermal, biomass, solar thermal, methane-from-waste, fuel cell, wastewater-to-heat, and poultry litter-to-energy.</t>
  </si>
  <si>
    <t xml:space="preserve">
Fuel / Feedstock Input per MWh</t>
  </si>
  <si>
    <t xml:space="preserve">
Enter the quantity of fuel or feedstock required to produce one MWh of energy, where applicable. This is only applicable for technologies using fuel — geothermal (electricity for heat pumps), biomass, fuel cell, and methane-from-waste.</t>
  </si>
  <si>
    <t xml:space="preserve">
Fuel / Feedstock Price ($/unit)</t>
  </si>
  <si>
    <t xml:space="preserve">
Enter the expected cost per unit of fuel or feedstock used by the project, where applicable. This is only applicable for technologies using fuel — geothermal (electricity for heat pumps), biomass, fuel cell, and methane-from-waste.</t>
  </si>
  <si>
    <t xml:space="preserve">
Fuel Cost Escalation (%)</t>
  </si>
  <si>
    <t xml:space="preserve">
Enter the assumed annual percentage increase in fuel or feedstock costs, where applicable. This is only applicable for technologies using fuel — geothermal (electricity for heat pumps), biomass, fuel cell, and methane-from-waste.</t>
  </si>
  <si>
    <t xml:space="preserve">
Waste Tipping / Disposal Revenue ($/MWh)</t>
  </si>
  <si>
    <t xml:space="preserve">
Enter the expected waste tipping or disposal revenue earned per MWh of energy generated, where applicable. This is only applicable for technologies taking waste as fuel — poultry litter to energy and, possibly, methane from waste. </t>
  </si>
  <si>
    <t xml:space="preserve">
Other Technology Revenue Year 1 ($/year)</t>
  </si>
  <si>
    <t xml:space="preserve">
Enter any additional annual revenue expected in the first operating year that is not captured in the other revenue categories.</t>
  </si>
  <si>
    <t xml:space="preserve">
Other Revenue Escalation (%)</t>
  </si>
  <si>
    <t xml:space="preserve">
Enter the assumed annual percentage increase in other technology revenues, where applicable.</t>
  </si>
  <si>
    <t>Tier 1 RE — Energy, Rec, and Capacity Revenues</t>
  </si>
  <si>
    <t xml:space="preserve">
PPA Price ($/MWh)</t>
  </si>
  <si>
    <t xml:space="preserve">
Enter the contracted electricity sales price per MWh under the project's power purchase agreement (PPA), where applicable. Should the applicant have multiple PPAs, the applicant should use a weighted-average PPA price. The applicant should estimate PPA pricing and amounts if PPAs have not been yet signed.</t>
  </si>
  <si>
    <t xml:space="preserve">
PPA Price Escalation (%)</t>
  </si>
  <si>
    <t xml:space="preserve">
Enter the expected annual percentage increase in the PPA electricity price. Escalation begins in Year 2, with Year 1 using the initial PPA price. Enter 0% if the price remains fixed.</t>
  </si>
  <si>
    <t xml:space="preserve">
Merchant Energy Price ($/MWh)</t>
  </si>
  <si>
    <t xml:space="preserve">
Enter the expected electricity sales price for energy sold outside a PPA. This should be based on the best estimate available to the user.</t>
  </si>
  <si>
    <t xml:space="preserve">
Merchant Energy Price Escalation (%)</t>
  </si>
  <si>
    <t xml:space="preserve">
Displays the assumption for annual percentage increase in the merchant electricity sales price.</t>
  </si>
  <si>
    <t xml:space="preserve">
PPA / Merchant Energy Sales Allocation Schedule</t>
  </si>
  <si>
    <t xml:space="preserve">
Enter the starting year and percentage of annual electricity generation (MWh) expected to be sold under a PPA for each period. The ending year is determined automatically, and the remaining generation is allocated to merchant sales. Starting years must fall within the project lifetime.</t>
  </si>
  <si>
    <t xml:space="preserve">
REC Price ($/MWh)</t>
  </si>
  <si>
    <t xml:space="preserve">
Enter the expected price per renewable energy certificate (REC), where applicable.</t>
  </si>
  <si>
    <t xml:space="preserve">
REC Price Escalation (%)</t>
  </si>
  <si>
    <t xml:space="preserve">
Enter the assumed annual percentage increase in REC prices.</t>
  </si>
  <si>
    <t xml:space="preserve">
Capacity Price ($/MW-day)</t>
  </si>
  <si>
    <t xml:space="preserve">
Enter the expected daily capacity revenue per MW of eligible generation capacity, where applicable.</t>
  </si>
  <si>
    <t xml:space="preserve">
Capacity Price Escalation (%)</t>
  </si>
  <si>
    <t xml:space="preserve">
Enter the assumed annual percentage increase in capacity revenue rates.</t>
  </si>
  <si>
    <t xml:space="preserve">
ELCC Factor (Tracking Solar) (%)</t>
  </si>
  <si>
    <t xml:space="preserve">
Enter the assumed effective load carrying capability (ELCC) factor used to estimate the qualifying capacity of tracking solar generation, where applicable. This should be the most recent PJM published ELCC. This is a simplification that ignores the potential of PJM ELCC changing over time.</t>
  </si>
  <si>
    <t>Battery Storage — Capacity, Operations &amp; Revenues</t>
  </si>
  <si>
    <t xml:space="preserve">
Annual Capacity Degradation (%)</t>
  </si>
  <si>
    <t xml:space="preserve">
Automatically displays the annual storage capacity degradation rate based on the selected storage technology. If Other is selected, enter the rate in the Other Battery Technology Degradation Rate field. No direct entry is required here.</t>
  </si>
  <si>
    <t xml:space="preserve">
Battery Technology Lifetime (years)</t>
  </si>
  <si>
    <t xml:space="preserve">
Automatically displays the lifetime based on the selected storage technology. If Other is selected, enter the lifetime in the Other Battery Technology Lifetime field. No direct entry is required here.</t>
  </si>
  <si>
    <t xml:space="preserve">
Duration (hours)</t>
  </si>
  <si>
    <t xml:space="preserve">
Enter the number of hours the battery can discharge at its rated power capacity.</t>
  </si>
  <si>
    <t xml:space="preserve">
ELCC Factor (4-hr Storage) (%)</t>
  </si>
  <si>
    <t xml:space="preserve">
Enter the assumed effective load carrying capability (ELCC) factor used to estimate the storage system's qualifying capacity.</t>
  </si>
  <si>
    <t xml:space="preserve">
Energy Arbitrage Revenue (Year 1) ($/MW-year)</t>
  </si>
  <si>
    <t xml:space="preserve">
Enter the expected annual revenue per MW of battery power capacity from purchasing or charging during lower-price periods and discharging during higher-price periods.</t>
  </si>
  <si>
    <t xml:space="preserve">
Arbitrage Escalation/Decline (%)</t>
  </si>
  <si>
    <t xml:space="preserve">
Enter the assumed annual percentage increase or decrease in energy arbitrage revenue. Use a negative value to represent a decline.</t>
  </si>
  <si>
    <t xml:space="preserve">
Ancillary Services Revenue (Year 1) ($/kW-month)</t>
  </si>
  <si>
    <t xml:space="preserve">
Enter the expected monthly revenue per kW of battery power capacity from providing ancillary grid services.</t>
  </si>
  <si>
    <t xml:space="preserve">
Ancillary Escalation (%)</t>
  </si>
  <si>
    <t xml:space="preserve">
Enter the assumed annual percentage increase in ancillary services revenue rates.</t>
  </si>
  <si>
    <t xml:space="preserve">
Augmentation Enabled</t>
  </si>
  <si>
    <t xml:space="preserve">
Select whether battery augmentation or capacity restoration is planned during the project lifetime.</t>
  </si>
  <si>
    <t xml:space="preserve">
Augmentation Interval (years)</t>
  </si>
  <si>
    <t xml:space="preserve">
Enter the number of years between planned battery augmentation events, where applicable.</t>
  </si>
  <si>
    <t xml:space="preserve">
Augmentation Cost ($/kWh)</t>
  </si>
  <si>
    <t xml:space="preserve">
Enter the estimated cost of battery augmentation per kWh of storage energy capacity, where applicable.</t>
  </si>
  <si>
    <t>Finances</t>
  </si>
  <si>
    <t xml:space="preserve">
Generation CapEx (Overnight) ($/Wac)</t>
  </si>
  <si>
    <t xml:space="preserve">
Enter the total overnight capital cost of the generation system per watt of installed AC capacity. Enter $/MWth for technologies providing primarily thermal energy — wastewater to heat and geothermal.</t>
  </si>
  <si>
    <t xml:space="preserve">
Storage CapEx ($/kWh)</t>
  </si>
  <si>
    <t xml:space="preserve">
Enter the capital cost of the battery storage system per kWh of installed energy capacity.</t>
  </si>
  <si>
    <t xml:space="preserve">
Fixed O&amp;M (Year 1) — Generation ($/kW-year)</t>
  </si>
  <si>
    <t xml:space="preserve">
Enter the expected first-year annual fixed operating and maintenance cost per kW of installed generation capacity. This would be ($/kw-year) of thermal energy for geothermal and wastewater to heat.</t>
  </si>
  <si>
    <t xml:space="preserve">
Variable O&amp;M ($/MWh)</t>
  </si>
  <si>
    <t xml:space="preserve">
Enter the operating and maintenance cost per MWh of electricity generated. This would be MWhth of thermal energy for geothermal and wastewater to heat.</t>
  </si>
  <si>
    <t xml:space="preserve">
Fixed O&amp;M (Year 1) — Storage ($/kW-year)</t>
  </si>
  <si>
    <t xml:space="preserve">
Enter the expected first-year annual fixed operating and maintenance cost per kW of installed storage power capacity.</t>
  </si>
  <si>
    <t xml:space="preserve">
Variable O&amp;M — Storage ($/MWh discharged)</t>
  </si>
  <si>
    <t xml:space="preserve">
Enter the operating and maintenance cost per MWh of electricity discharged from storage.</t>
  </si>
  <si>
    <t xml:space="preserve">
O&amp;M Escalation Rate (%)</t>
  </si>
  <si>
    <t xml:space="preserve">
Enter the assumed annual percentage increase in applicable generation and storage operating and maintenance costs.</t>
  </si>
  <si>
    <t xml:space="preserve">
Inflation Rate (fixed)</t>
  </si>
  <si>
    <t xml:space="preserve">
Automatically displays the assumed annual inflation rate used to escalate applicable project costs and financial assumptions over the project lifetime. No applicant entry is required.</t>
  </si>
  <si>
    <t xml:space="preserve">
Land Lease (included in Fixed O&amp;M)</t>
  </si>
  <si>
    <t xml:space="preserve">
Select Yes if land lease costs are already included in fixed O&amp;M; otherwise, select No and enter any additional annual land lease expense separately.</t>
  </si>
  <si>
    <t xml:space="preserve">
Additional Annual Land Lease ($/year)</t>
  </si>
  <si>
    <t xml:space="preserve">
Enter the annual land lease expense not already included in fixed O&amp;M, where applicable.</t>
  </si>
  <si>
    <t xml:space="preserve">
Additional / Technology-specific CapEx ($)</t>
  </si>
  <si>
    <t xml:space="preserve">
Enter any additional one-time project capital costs not included in the generation or storage CapEx assumptions.</t>
  </si>
  <si>
    <t xml:space="preserve">
Eligible for IRA Tax Credit?</t>
  </si>
  <si>
    <t xml:space="preserve">
Select one of three options: (1) Select "Yes — Generation and/or Storage" if federal tax credits are being claimed for the generation and/or storage components. (2) Select "Storage Only" if ITC is being claimed for storage only, and no generation tax credit is being claimed. (3) Select "No" if the project is not claiming either credit.</t>
  </si>
  <si>
    <t xml:space="preserve">
Generation Tax Credit Election</t>
  </si>
  <si>
    <t xml:space="preserve">
Select the tax credit, investment tax credit (ITC) or production tax credit (PTC), that applies to the generation component. Note that Storage is NOT eligible for PTC. For hybrid generation and storage projects, the storage component may receive an ITC under either generation election; if PTC is selected for the generation asset, ITC rates are applied to the storage asset. This input is not applicable when "Storage Only" or "No" is selected for tax-credit eligibility, or for storage-only projects.</t>
  </si>
  <si>
    <t xml:space="preserve">
ITC Rate (Section 48E) (%)</t>
  </si>
  <si>
    <t xml:space="preserve">
Enter the applicable investment tax credit percentage.</t>
  </si>
  <si>
    <t xml:space="preserve">
ITC Basis Reduction Factor (%)</t>
  </si>
  <si>
    <t xml:space="preserve">
Enter the percentage of the investment tax credit amount used to reduce the project's depreciable tax basis.</t>
  </si>
  <si>
    <t xml:space="preserve">
PTC Rate ($/MWh)</t>
  </si>
  <si>
    <t xml:space="preserve">
Enter the applicable production tax credit rate per MWh of eligible electricity generated.</t>
  </si>
  <si>
    <t xml:space="preserve">
PTC Credit Period (years)</t>
  </si>
  <si>
    <t xml:space="preserve">
Enter the number of years for which the project is expected to receive production tax credits.</t>
  </si>
  <si>
    <t xml:space="preserve">
Tax Credit Value Realization Rate (%)</t>
  </si>
  <si>
    <t xml:space="preserve">
Enter the percentage of ITC or PTC value expected to be realized after any tax credit monetization costs. Use 100% if credits are fully utilized.</t>
  </si>
  <si>
    <t xml:space="preserve">
Federal Tax Rate (%)</t>
  </si>
  <si>
    <t xml:space="preserve">
Enter the applicable federal corporate income tax rate.</t>
  </si>
  <si>
    <t xml:space="preserve">
State Tax Rate (%)</t>
  </si>
  <si>
    <t xml:space="preserve">
Enter the applicable state corporate income tax rate.</t>
  </si>
  <si>
    <t xml:space="preserve">
Depreciation Method</t>
  </si>
  <si>
    <t xml:space="preserve">
Select the applicable tax depreciation method for the project.</t>
  </si>
  <si>
    <t xml:space="preserve">
Debt as % of CapEx (%)</t>
  </si>
  <si>
    <t xml:space="preserve">
Enter the percentage of total project capital expenditures expected to be financed through debt.</t>
  </si>
  <si>
    <t xml:space="preserve">
Interest Rate (%)</t>
  </si>
  <si>
    <t xml:space="preserve">
Enter the assumed annual interest rate on project debt.</t>
  </si>
  <si>
    <t xml:space="preserve">
Debt Term (years)</t>
  </si>
  <si>
    <t xml:space="preserve">
Enter the number of years over which project debt will be repaid.</t>
  </si>
  <si>
    <t xml:space="preserve">
Grant Amount Requested ($)</t>
  </si>
  <si>
    <t xml:space="preserve">
Enter the total grant funding requested from MEA for the proposed project.</t>
  </si>
  <si>
    <t xml:space="preserve">
Bid Amount ($ requested/MWh lifetime)</t>
  </si>
  <si>
    <t xml:space="preserve">
Automatically calculates the requested grant amount divided by projected energy delivered over the modeled project lifetime. For storage-only projects, the calculation uses projected battery dispatch adjusted for annual degradation. No applicant entry is required.</t>
  </si>
  <si>
    <t xml:space="preserve">
Grant Receipt at COD (Calendar Year)</t>
  </si>
  <si>
    <t xml:space="preserve">
Automatically displays the calendar year in which the grant is assumed to be received, based on the project's Commercial Operation Date (COD). No applicant entry is required.</t>
  </si>
  <si>
    <t xml:space="preserve">
Lifetime MWh Delivered</t>
  </si>
  <si>
    <r>
      <t xml:space="preserve">
Automatically displays the lifetime energy delivered based on </t>
    </r>
    <r>
      <rPr>
        <sz val="16"/>
        <color theme="1"/>
        <rFont val="Aptos"/>
        <family val="2"/>
      </rPr>
      <t>the lifetime delivery to grid by the Tier 1 generation and the lifetime dispatch to grid by the co-located storage (as applicable).</t>
    </r>
  </si>
  <si>
    <t>Calculated Parameters</t>
  </si>
  <si>
    <t xml:space="preserve">
Nameplate Capacity (DC) (MW)</t>
  </si>
  <si>
    <t xml:space="preserve">
Automatically calculates the generation system's installed DC capacity based on the applicable capacity assumptions.</t>
  </si>
  <si>
    <t xml:space="preserve">
Storage Power Capacity (MW)</t>
  </si>
  <si>
    <t xml:space="preserve">
Automatically displays the battery storage system's rated power capacity.</t>
  </si>
  <si>
    <t xml:space="preserve">
Energy Capacity (MWh)</t>
  </si>
  <si>
    <t xml:space="preserve">
Automatically calculates the battery storage system's energy capacity based on its power capacity and discharge duration.</t>
  </si>
  <si>
    <t xml:space="preserve">
Generation Total CapEx ($)</t>
  </si>
  <si>
    <t xml:space="preserve">
Automatically calculates total generation capital expenditure based on installed AC generation capacity and the generation CapEx rate. No applicant entry is required.</t>
  </si>
  <si>
    <t xml:space="preserve">
Storage Total CapEx ($)</t>
  </si>
  <si>
    <t xml:space="preserve">
Automatically calculates the total battery storage capital expenditure based on installed energy capacity and storage capital costs.</t>
  </si>
  <si>
    <t xml:space="preserve">
Total CapEx ($)</t>
  </si>
  <si>
    <t xml:space="preserve">
Automatically calculates the project's total capital expenditures, including applicable generation, storage, and additional capital costs.</t>
  </si>
  <si>
    <t xml:space="preserve">
ITC Amount ($)</t>
  </si>
  <si>
    <t xml:space="preserve">
Automatically calculates the applicable investment tax credit amount based on the selected tax credit assumptions.</t>
  </si>
  <si>
    <t xml:space="preserve">
Depreciable Basis ($)</t>
  </si>
  <si>
    <t xml:space="preserve">
Automatically calculates the project's depreciable basis by subtracting the applicable ITC-related basis reduction from total capital expenditures. No applicant entry is required.</t>
  </si>
  <si>
    <t xml:space="preserve">
Debt Amount ($)</t>
  </si>
  <si>
    <t xml:space="preserve">
Automatically calculates the portion of total project capital expenditures financed through debt.</t>
  </si>
  <si>
    <t xml:space="preserve">
Equity Contribution ($)</t>
  </si>
  <si>
    <t xml:space="preserve">
Automatically calculates the portion of total project capital expenditures funded through equity.</t>
  </si>
  <si>
    <t xml:space="preserve">
Combined Tax Rate (%)</t>
  </si>
  <si>
    <t xml:space="preserve">
Automatically calculates the combined effective federal and state income tax rate used in the financial model.</t>
  </si>
  <si>
    <t xml:space="preserve">
Year-1 Generation (MWh)</t>
  </si>
  <si>
    <t xml:space="preserve">
Automatically calculates first-year electricity generation based on the project's first-year delivery to grid (MWh). Battery discharge is excluded. No applicant entry is required.</t>
  </si>
  <si>
    <t>CASH FLOW TAB</t>
  </si>
  <si>
    <t>This tab is autocalculated</t>
  </si>
  <si>
    <t>SUMMARY TAB</t>
  </si>
  <si>
    <t>DEPRECIATION SCHEDULE TAB</t>
  </si>
  <si>
    <r>
      <t xml:space="preserve">USER INPUTS
</t>
    </r>
    <r>
      <rPr>
        <b/>
        <i/>
        <sz val="16"/>
        <color rgb="FF0070C0"/>
        <rFont val="Aptos"/>
        <family val="2"/>
      </rPr>
      <t xml:space="preserve">Enter project information in the cells highlighted in yellow. </t>
    </r>
    <r>
      <rPr>
        <b/>
        <i/>
        <sz val="14"/>
        <color rgb="FF0070C0"/>
        <rFont val="Aptos"/>
        <family val="2"/>
      </rPr>
      <t xml:space="preserve">
</t>
    </r>
    <r>
      <rPr>
        <i/>
        <sz val="14"/>
        <color theme="1" tint="0.14999847407452621"/>
        <rFont val="Aptos"/>
        <family val="2"/>
      </rPr>
      <t xml:space="preserve">Cells with a gray background contain built-in or auto-calculated values.
</t>
    </r>
    <r>
      <rPr>
        <i/>
        <sz val="14"/>
        <color rgb="FFC00000"/>
        <rFont val="Aptos"/>
        <family val="2"/>
      </rPr>
      <t>*</t>
    </r>
    <r>
      <rPr>
        <i/>
        <sz val="14"/>
        <color theme="1" tint="0.14999847407452621"/>
        <rFont val="Aptos"/>
        <family val="2"/>
      </rPr>
      <t xml:space="preserve">Fields marked with an asterisk are required. </t>
    </r>
    <r>
      <rPr>
        <b/>
        <i/>
        <sz val="14"/>
        <color theme="1" tint="0.14999847407452621"/>
        <rFont val="Aptos"/>
        <family val="2"/>
      </rPr>
      <t xml:space="preserve">
</t>
    </r>
  </si>
  <si>
    <t>PROJECT INFORMATION</t>
  </si>
  <si>
    <t>PROJECT IDENTIFICATION</t>
  </si>
  <si>
    <t>Enter the MEA-assigned application ID and project name as provided in the grant application.</t>
  </si>
  <si>
    <r>
      <t>MEA Assigned Application ID</t>
    </r>
    <r>
      <rPr>
        <b/>
        <sz val="14"/>
        <color rgb="FFC00000"/>
        <rFont val="Aptos"/>
        <family val="2"/>
      </rPr>
      <t>*</t>
    </r>
  </si>
  <si>
    <r>
      <t>Descriptive Title of Project</t>
    </r>
    <r>
      <rPr>
        <b/>
        <sz val="14"/>
        <color rgb="FFC00000"/>
        <rFont val="Aptos"/>
        <family val="2"/>
      </rPr>
      <t>*</t>
    </r>
  </si>
  <si>
    <r>
      <t>Project Type Seeking Auction Funding</t>
    </r>
    <r>
      <rPr>
        <b/>
        <sz val="14"/>
        <color rgb="FFC00000"/>
        <rFont val="Aptos"/>
        <family val="2"/>
      </rPr>
      <t>*</t>
    </r>
  </si>
  <si>
    <r>
      <t>Commercial Operation Date (COD) Year</t>
    </r>
    <r>
      <rPr>
        <b/>
        <sz val="14"/>
        <color rgb="FFC00000"/>
        <rFont val="Aptos"/>
        <family val="2"/>
      </rPr>
      <t>*</t>
    </r>
  </si>
  <si>
    <r>
      <t>PJM Transmission Zone</t>
    </r>
    <r>
      <rPr>
        <b/>
        <sz val="14"/>
        <color rgb="FFC00000"/>
        <rFont val="Aptos"/>
        <family val="2"/>
      </rPr>
      <t>*</t>
    </r>
  </si>
  <si>
    <t>PROJECT SELECTION AND SCHEDULE</t>
  </si>
  <si>
    <t>Select the project type and applicable technologies, and enter the required project-specific information and custom technology assumptions, where applicable.</t>
  </si>
  <si>
    <r>
      <t xml:space="preserve"> Technology Type</t>
    </r>
    <r>
      <rPr>
        <b/>
        <sz val="14"/>
        <color rgb="FFC00000"/>
        <rFont val="Aptos"/>
        <family val="2"/>
      </rPr>
      <t>*</t>
    </r>
  </si>
  <si>
    <r>
      <t>Technology Subtype</t>
    </r>
    <r>
      <rPr>
        <b/>
        <sz val="14"/>
        <color rgb="FFC00000"/>
        <rFont val="Aptos"/>
        <family val="2"/>
      </rPr>
      <t>*</t>
    </r>
  </si>
  <si>
    <r>
      <t>Nameplate Capacity (MWac)</t>
    </r>
    <r>
      <rPr>
        <b/>
        <sz val="14"/>
        <color rgb="FFC00000"/>
        <rFont val="Aptos"/>
        <family val="2"/>
      </rPr>
      <t>*</t>
    </r>
  </si>
  <si>
    <r>
      <t>First-year Delivery to Grid (MWh)</t>
    </r>
    <r>
      <rPr>
        <b/>
        <sz val="14"/>
        <color rgb="FFC00000"/>
        <rFont val="Aptos"/>
        <family val="2"/>
      </rPr>
      <t>*</t>
    </r>
  </si>
  <si>
    <r>
      <t>System Lifetime (years)</t>
    </r>
    <r>
      <rPr>
        <b/>
        <sz val="14"/>
        <color rgb="FFC00000"/>
        <rFont val="Aptos"/>
        <family val="2"/>
      </rPr>
      <t>*</t>
    </r>
  </si>
  <si>
    <r>
      <t>System Degradation Rate (%/year)</t>
    </r>
    <r>
      <rPr>
        <b/>
        <sz val="14"/>
        <color rgb="FFC00000"/>
        <rFont val="Aptos"/>
        <family val="2"/>
      </rPr>
      <t>*</t>
    </r>
  </si>
  <si>
    <r>
      <t>Custom Technology Name</t>
    </r>
    <r>
      <rPr>
        <b/>
        <sz val="14"/>
        <color rgb="FFC00000"/>
        <rFont val="Aptos"/>
        <family val="2"/>
      </rPr>
      <t>*</t>
    </r>
  </si>
  <si>
    <r>
      <t>Custom Technology Lifetime (years)</t>
    </r>
    <r>
      <rPr>
        <b/>
        <sz val="14"/>
        <color rgb="FFC00000"/>
        <rFont val="Aptos"/>
        <family val="2"/>
      </rPr>
      <t>*</t>
    </r>
  </si>
  <si>
    <r>
      <t>Custom Technology Degradation Rate (%/year)</t>
    </r>
    <r>
      <rPr>
        <b/>
        <sz val="14"/>
        <color rgb="FFC00000"/>
        <rFont val="Aptos"/>
        <family val="2"/>
      </rPr>
      <t>*</t>
    </r>
  </si>
  <si>
    <t>Lifetime Delivery to Grid (MWh)</t>
  </si>
  <si>
    <r>
      <t>Battery Technology</t>
    </r>
    <r>
      <rPr>
        <b/>
        <sz val="14"/>
        <color rgb="FFC00000"/>
        <rFont val="Aptos"/>
        <family val="2"/>
      </rPr>
      <t>*</t>
    </r>
  </si>
  <si>
    <t>Battery Technology Lifetime (years)*</t>
  </si>
  <si>
    <t>Battery Technology Degradation Rate (%/year)*</t>
  </si>
  <si>
    <r>
      <t>Battery Capacity (MW)</t>
    </r>
    <r>
      <rPr>
        <b/>
        <sz val="14"/>
        <color rgb="FFC00000"/>
        <rFont val="Aptos"/>
        <family val="2"/>
      </rPr>
      <t>*</t>
    </r>
  </si>
  <si>
    <r>
      <t>Battery First-year Dispatch to Grid (MWh)</t>
    </r>
    <r>
      <rPr>
        <b/>
        <sz val="14"/>
        <color rgb="FFC00000"/>
        <rFont val="Aptos"/>
        <family val="2"/>
      </rPr>
      <t>*</t>
    </r>
  </si>
  <si>
    <r>
      <t>Other Battery Technology Name</t>
    </r>
    <r>
      <rPr>
        <b/>
        <sz val="14"/>
        <color rgb="FFC00000"/>
        <rFont val="Aptos"/>
        <family val="2"/>
      </rPr>
      <t>*</t>
    </r>
  </si>
  <si>
    <r>
      <t>Other Battery Technology Lifetime (years)</t>
    </r>
    <r>
      <rPr>
        <b/>
        <sz val="14"/>
        <color rgb="FFC00000"/>
        <rFont val="Aptos"/>
        <family val="2"/>
      </rPr>
      <t>*</t>
    </r>
  </si>
  <si>
    <r>
      <t>Other Battery Technology Degradation Rate (%/year)</t>
    </r>
    <r>
      <rPr>
        <b/>
        <sz val="14"/>
        <color rgb="FFC00000"/>
        <rFont val="Aptos"/>
        <family val="2"/>
      </rPr>
      <t>*</t>
    </r>
  </si>
  <si>
    <t>Lifetime Dispatch to Grid (MWh)</t>
  </si>
  <si>
    <t>Project Lifetime Delivery to Grid (MWh)</t>
  </si>
  <si>
    <t>TIER 1 RE</t>
  </si>
  <si>
    <t>RESOURCE &amp; PERFORMANCE</t>
  </si>
  <si>
    <t>Enter the applicable TIER 1 RE capacity and resource performance assumptions. Technology-specific degradation rates are automatically populated based on the selected technology, with applicant-provided rates required where reference values are unavailable.</t>
  </si>
  <si>
    <t>DC/AC Ratio (ILR)</t>
  </si>
  <si>
    <r>
      <t>Thermal Energy Output Factor (MWhth/MW-year)</t>
    </r>
    <r>
      <rPr>
        <b/>
        <sz val="14"/>
        <color rgb="FFC00000"/>
        <rFont val="Aptos"/>
        <family val="2"/>
      </rPr>
      <t>*</t>
    </r>
  </si>
  <si>
    <r>
      <t>Heat / Thermal Sale Price ($/MWhth)</t>
    </r>
    <r>
      <rPr>
        <b/>
        <sz val="14"/>
        <color rgb="FFC00000"/>
        <rFont val="Aptos"/>
        <family val="2"/>
      </rPr>
      <t>*</t>
    </r>
  </si>
  <si>
    <r>
      <t>Thermal Sale Escalation (%)</t>
    </r>
    <r>
      <rPr>
        <b/>
        <sz val="14"/>
        <color rgb="FFC00000"/>
        <rFont val="Aptos"/>
        <family val="2"/>
      </rPr>
      <t>*</t>
    </r>
  </si>
  <si>
    <r>
      <t>Fuel / Feedstock Input per MWh</t>
    </r>
    <r>
      <rPr>
        <b/>
        <sz val="14"/>
        <color rgb="FFC00000"/>
        <rFont val="Aptos"/>
        <family val="2"/>
      </rPr>
      <t>*</t>
    </r>
  </si>
  <si>
    <r>
      <t>Fuel / Feedstock Price ($/unit)</t>
    </r>
    <r>
      <rPr>
        <b/>
        <sz val="14"/>
        <color rgb="FFC00000"/>
        <rFont val="Aptos"/>
        <family val="2"/>
      </rPr>
      <t>*</t>
    </r>
  </si>
  <si>
    <r>
      <t>Fuel Cost Escalation (%)</t>
    </r>
    <r>
      <rPr>
        <b/>
        <sz val="14"/>
        <color rgb="FFC00000"/>
        <rFont val="Aptos"/>
        <family val="2"/>
      </rPr>
      <t>*</t>
    </r>
  </si>
  <si>
    <r>
      <t>Waste Tipping / Disposal Revenue ($/MWh)</t>
    </r>
    <r>
      <rPr>
        <b/>
        <sz val="14"/>
        <color rgb="FFC00000"/>
        <rFont val="Aptos"/>
        <family val="2"/>
      </rPr>
      <t>*</t>
    </r>
  </si>
  <si>
    <r>
      <t>Other Technology Revenue Year 1 ($/year)</t>
    </r>
    <r>
      <rPr>
        <b/>
        <sz val="14"/>
        <color rgb="FFC00000"/>
        <rFont val="Aptos"/>
        <family val="2"/>
      </rPr>
      <t>*</t>
    </r>
  </si>
  <si>
    <r>
      <t>Other Revenue Escalation (%)</t>
    </r>
    <r>
      <rPr>
        <b/>
        <sz val="14"/>
        <color rgb="FFC00000"/>
        <rFont val="Aptos"/>
        <family val="2"/>
      </rPr>
      <t>*</t>
    </r>
  </si>
  <si>
    <t>ENERGY, REC &amp; CAPACITY REVENUES</t>
  </si>
  <si>
    <t>Enter electricity sales prices, PPA and merchant allocation periods, renewable energy certificate (REC) prices, and capacity revenue assumptions.</t>
  </si>
  <si>
    <r>
      <t>PPA Price ($/MWh)</t>
    </r>
    <r>
      <rPr>
        <b/>
        <sz val="14"/>
        <color rgb="FFC00000"/>
        <rFont val="Aptos"/>
        <family val="2"/>
      </rPr>
      <t>*</t>
    </r>
  </si>
  <si>
    <r>
      <t>PPA Price Escalation (%)</t>
    </r>
    <r>
      <rPr>
        <b/>
        <sz val="14"/>
        <color rgb="FFC00000"/>
        <rFont val="Aptos"/>
        <family val="2"/>
      </rPr>
      <t>*</t>
    </r>
  </si>
  <si>
    <r>
      <t>Merchant Energy Price ($/MWh)</t>
    </r>
    <r>
      <rPr>
        <b/>
        <sz val="14"/>
        <color rgb="FFC00000"/>
        <rFont val="Aptos"/>
        <family val="2"/>
      </rPr>
      <t>*</t>
    </r>
  </si>
  <si>
    <t>Merchant Energy Price Escalation (%)</t>
  </si>
  <si>
    <t>PPA / MERCHANT ENERGY SALES ALLOCATION SCHEDULE</t>
  </si>
  <si>
    <t>Enter the starting year and percentage of annual electricity generation (MWh) expected to be sold under a PPA for each period. The remaining generation is assumed to be sold at merchant prices. The ending year is calculated automatically. Starting years must be within the project lifetime.</t>
  </si>
  <si>
    <r>
      <t>Starting Year</t>
    </r>
    <r>
      <rPr>
        <b/>
        <sz val="14"/>
        <color rgb="FFC00000"/>
        <rFont val="Aptos"/>
        <family val="2"/>
      </rPr>
      <t>*</t>
    </r>
  </si>
  <si>
    <t>Ending Year</t>
  </si>
  <si>
    <r>
      <t>PPA Energy%</t>
    </r>
    <r>
      <rPr>
        <b/>
        <sz val="14"/>
        <color rgb="FFC00000"/>
        <rFont val="Aptos"/>
        <family val="2"/>
      </rPr>
      <t>*</t>
    </r>
  </si>
  <si>
    <t>Merchant%</t>
  </si>
  <si>
    <r>
      <t>REC Price ($/MWh)</t>
    </r>
    <r>
      <rPr>
        <b/>
        <sz val="14"/>
        <color rgb="FFC00000"/>
        <rFont val="Aptos"/>
        <family val="2"/>
      </rPr>
      <t>*</t>
    </r>
  </si>
  <si>
    <r>
      <t>REC Escalation (%)</t>
    </r>
    <r>
      <rPr>
        <b/>
        <sz val="14"/>
        <color rgb="FFC00000"/>
        <rFont val="Aptos"/>
        <family val="2"/>
      </rPr>
      <t>*</t>
    </r>
  </si>
  <si>
    <r>
      <t>Capacity Price ($/MW-day)</t>
    </r>
    <r>
      <rPr>
        <b/>
        <sz val="14"/>
        <color rgb="FFC00000"/>
        <rFont val="Aptos"/>
        <family val="2"/>
      </rPr>
      <t>*</t>
    </r>
  </si>
  <si>
    <r>
      <t>Capacity Price Escalation (%)</t>
    </r>
    <r>
      <rPr>
        <b/>
        <sz val="14"/>
        <color rgb="FFC00000"/>
        <rFont val="Aptos"/>
        <family val="2"/>
      </rPr>
      <t>*</t>
    </r>
  </si>
  <si>
    <r>
      <t>ELCC Factor (Tracking Solar) (%)</t>
    </r>
    <r>
      <rPr>
        <b/>
        <sz val="14"/>
        <color rgb="FFC00000"/>
        <rFont val="Aptos"/>
        <family val="2"/>
      </rPr>
      <t>*</t>
    </r>
  </si>
  <si>
    <t>BATTERY STORAGE</t>
  </si>
  <si>
    <t>CAPACITY, OPERATIONS &amp; REVENUES</t>
  </si>
  <si>
    <t>Enter the applicable battery storage capacity, duration, annual energy dispatch, revenue assumptions, and augmentation parameters. The storage degradation rate is automatically populated based on the selected technology.</t>
  </si>
  <si>
    <t>Annual Capacity Degradation (%)</t>
  </si>
  <si>
    <t>Battery Technology Lifetime (years)</t>
  </si>
  <si>
    <r>
      <t>Duration (hours)</t>
    </r>
    <r>
      <rPr>
        <b/>
        <sz val="14"/>
        <color rgb="FFC00000"/>
        <rFont val="Aptos"/>
        <family val="2"/>
      </rPr>
      <t>*</t>
    </r>
  </si>
  <si>
    <r>
      <t>ELCC Factor (4-hr Storage) (%)</t>
    </r>
    <r>
      <rPr>
        <b/>
        <sz val="14"/>
        <color rgb="FFC00000"/>
        <rFont val="Aptos"/>
        <family val="2"/>
      </rPr>
      <t>*</t>
    </r>
  </si>
  <si>
    <r>
      <t>Energy Arbitrage Revenue (Year 1) ($/MW-year)</t>
    </r>
    <r>
      <rPr>
        <b/>
        <sz val="14"/>
        <color rgb="FFC00000"/>
        <rFont val="Aptos"/>
        <family val="2"/>
      </rPr>
      <t>*</t>
    </r>
  </si>
  <si>
    <r>
      <t>Arbitrage Escalation/Decline (%)</t>
    </r>
    <r>
      <rPr>
        <b/>
        <sz val="14"/>
        <color rgb="FFC00000"/>
        <rFont val="Aptos"/>
        <family val="2"/>
      </rPr>
      <t>*</t>
    </r>
  </si>
  <si>
    <r>
      <t>Ancillary Services Revenue (Year 1) ($/kW-month)</t>
    </r>
    <r>
      <rPr>
        <b/>
        <sz val="14"/>
        <color rgb="FFC00000"/>
        <rFont val="Aptos"/>
        <family val="2"/>
      </rPr>
      <t>*</t>
    </r>
  </si>
  <si>
    <r>
      <t>Ancillary Escalation (%)</t>
    </r>
    <r>
      <rPr>
        <b/>
        <sz val="14"/>
        <color rgb="FFC00000"/>
        <rFont val="Aptos"/>
        <family val="2"/>
      </rPr>
      <t>*</t>
    </r>
  </si>
  <si>
    <r>
      <t>Augmentation Enabled</t>
    </r>
    <r>
      <rPr>
        <b/>
        <sz val="14"/>
        <color rgb="FFC00000"/>
        <rFont val="Aptos"/>
        <family val="2"/>
      </rPr>
      <t>*</t>
    </r>
  </si>
  <si>
    <r>
      <t>Augmentation Interval (years)</t>
    </r>
    <r>
      <rPr>
        <b/>
        <sz val="14"/>
        <color rgb="FFC00000"/>
        <rFont val="Aptos"/>
        <family val="2"/>
      </rPr>
      <t>*</t>
    </r>
  </si>
  <si>
    <r>
      <t>Augmentation Cost ($/kWh)</t>
    </r>
    <r>
      <rPr>
        <b/>
        <sz val="14"/>
        <color rgb="FFC00000"/>
        <rFont val="Aptos"/>
        <family val="2"/>
      </rPr>
      <t>*</t>
    </r>
  </si>
  <si>
    <t>FINANCES</t>
  </si>
  <si>
    <t>CAPITAL EXPENDITURE &amp; OPERATING COSTS</t>
  </si>
  <si>
    <t>Enter generation and storage capital costs, fixed and variable operating expenses, escalation rates, and any additional project-specific costs.</t>
  </si>
  <si>
    <r>
      <t>Generation CapEx (Overnight) ($/Wac)</t>
    </r>
    <r>
      <rPr>
        <b/>
        <sz val="14"/>
        <color rgb="FFC00000"/>
        <rFont val="Aptos"/>
        <family val="2"/>
      </rPr>
      <t>*</t>
    </r>
  </si>
  <si>
    <r>
      <t>Storage CapEx ($/kWh)</t>
    </r>
    <r>
      <rPr>
        <b/>
        <sz val="14"/>
        <color rgb="FFC00000"/>
        <rFont val="Aptos"/>
        <family val="2"/>
      </rPr>
      <t>*</t>
    </r>
  </si>
  <si>
    <r>
      <t>Fixed O&amp;M (Year 1) — Generation ($/kW-year)</t>
    </r>
    <r>
      <rPr>
        <b/>
        <sz val="14"/>
        <color rgb="FFC00000"/>
        <rFont val="Aptos"/>
        <family val="2"/>
      </rPr>
      <t>*</t>
    </r>
  </si>
  <si>
    <r>
      <t>Variable O&amp;M ($/MWh)</t>
    </r>
    <r>
      <rPr>
        <b/>
        <sz val="14"/>
        <color rgb="FFC00000"/>
        <rFont val="Aptos"/>
        <family val="2"/>
      </rPr>
      <t>*</t>
    </r>
  </si>
  <si>
    <r>
      <t>Fixed O&amp;M (Year 1) — Storage ($/kW-year)</t>
    </r>
    <r>
      <rPr>
        <b/>
        <sz val="14"/>
        <color rgb="FFC00000"/>
        <rFont val="Aptos"/>
        <family val="2"/>
      </rPr>
      <t>*</t>
    </r>
  </si>
  <si>
    <r>
      <t>Variable O&amp;M — Storage ($/MWh discharged)</t>
    </r>
    <r>
      <rPr>
        <b/>
        <sz val="14"/>
        <color rgb="FFC00000"/>
        <rFont val="Aptos"/>
        <family val="2"/>
      </rPr>
      <t>*</t>
    </r>
  </si>
  <si>
    <r>
      <t>O&amp;M Escalation Rate (%)</t>
    </r>
    <r>
      <rPr>
        <b/>
        <sz val="14"/>
        <color rgb="FFC00000"/>
        <rFont val="Aptos"/>
        <family val="2"/>
      </rPr>
      <t>*</t>
    </r>
  </si>
  <si>
    <t>Inflation Rate (fixed)</t>
  </si>
  <si>
    <r>
      <t>Land Lease (included in Fixed O&amp;M)</t>
    </r>
    <r>
      <rPr>
        <b/>
        <sz val="14"/>
        <color rgb="FFC00000"/>
        <rFont val="Aptos"/>
        <family val="2"/>
      </rPr>
      <t>*</t>
    </r>
  </si>
  <si>
    <r>
      <t>Additional Annual Land Lease ($/year)</t>
    </r>
    <r>
      <rPr>
        <b/>
        <sz val="14"/>
        <color rgb="FFC00000"/>
        <rFont val="Aptos"/>
        <family val="2"/>
      </rPr>
      <t>*</t>
    </r>
  </si>
  <si>
    <r>
      <t>Additional / Technology-specific CapEx ($)</t>
    </r>
    <r>
      <rPr>
        <b/>
        <sz val="14"/>
        <color rgb="FFC00000"/>
        <rFont val="Aptos"/>
        <family val="2"/>
      </rPr>
      <t>*</t>
    </r>
  </si>
  <si>
    <t>TAXES, DEPRECIATION &amp; FINANCING</t>
  </si>
  <si>
    <t>Enter applicable tax credit assumptions, tax rates, depreciation method, and debt financing terms.</t>
  </si>
  <si>
    <r>
      <t>Eligible for IRA Tax Credit?</t>
    </r>
    <r>
      <rPr>
        <b/>
        <sz val="14"/>
        <color rgb="FFC00000"/>
        <rFont val="Aptos"/>
        <family val="2"/>
      </rPr>
      <t>*</t>
    </r>
  </si>
  <si>
    <r>
      <t>Generation Tax Credit Election</t>
    </r>
    <r>
      <rPr>
        <b/>
        <sz val="14"/>
        <color rgb="FFC00000"/>
        <rFont val="Aptos"/>
        <family val="2"/>
      </rPr>
      <t>*</t>
    </r>
  </si>
  <si>
    <r>
      <t>ITC Rate (Section 48E) (%)</t>
    </r>
    <r>
      <rPr>
        <b/>
        <sz val="14"/>
        <color rgb="FFC00000"/>
        <rFont val="Aptos"/>
        <family val="2"/>
      </rPr>
      <t>*</t>
    </r>
  </si>
  <si>
    <r>
      <t>ITC Basis Reduction Factor (%)</t>
    </r>
    <r>
      <rPr>
        <b/>
        <sz val="14"/>
        <color rgb="FFC00000"/>
        <rFont val="Aptos"/>
        <family val="2"/>
      </rPr>
      <t>*</t>
    </r>
  </si>
  <si>
    <r>
      <t>PTC Rate ($/MWh)</t>
    </r>
    <r>
      <rPr>
        <b/>
        <sz val="14"/>
        <color rgb="FFC00000"/>
        <rFont val="Aptos"/>
        <family val="2"/>
      </rPr>
      <t>*</t>
    </r>
  </si>
  <si>
    <r>
      <t>PTC Credit Period (years)</t>
    </r>
    <r>
      <rPr>
        <b/>
        <sz val="14"/>
        <color rgb="FFC00000"/>
        <rFont val="Aptos"/>
        <family val="2"/>
      </rPr>
      <t>*</t>
    </r>
  </si>
  <si>
    <r>
      <t>Tax Credit Value Realization Rate (%)</t>
    </r>
    <r>
      <rPr>
        <b/>
        <sz val="14"/>
        <color rgb="FFC00000"/>
        <rFont val="Aptos"/>
        <family val="2"/>
      </rPr>
      <t>*</t>
    </r>
  </si>
  <si>
    <r>
      <t>Federal Tax Rate (%)</t>
    </r>
    <r>
      <rPr>
        <b/>
        <sz val="14"/>
        <color rgb="FFC00000"/>
        <rFont val="Aptos"/>
        <family val="2"/>
      </rPr>
      <t>*</t>
    </r>
  </si>
  <si>
    <r>
      <t>State Tax Rate (%)</t>
    </r>
    <r>
      <rPr>
        <b/>
        <sz val="14"/>
        <color rgb="FFC00000"/>
        <rFont val="Aptos"/>
        <family val="2"/>
      </rPr>
      <t>*</t>
    </r>
  </si>
  <si>
    <r>
      <t>Depreciation Method</t>
    </r>
    <r>
      <rPr>
        <b/>
        <sz val="14"/>
        <color rgb="FFC00000"/>
        <rFont val="Aptos"/>
        <family val="2"/>
      </rPr>
      <t>*</t>
    </r>
  </si>
  <si>
    <r>
      <t>Debt as % of CapEx (%)</t>
    </r>
    <r>
      <rPr>
        <b/>
        <sz val="14"/>
        <color rgb="FFC00000"/>
        <rFont val="Aptos"/>
        <family val="2"/>
      </rPr>
      <t>*</t>
    </r>
  </si>
  <si>
    <r>
      <t>Interest Rate (%)</t>
    </r>
    <r>
      <rPr>
        <b/>
        <sz val="14"/>
        <color rgb="FFC00000"/>
        <rFont val="Aptos"/>
        <family val="2"/>
      </rPr>
      <t>*</t>
    </r>
  </si>
  <si>
    <r>
      <t>Debt Term (years)</t>
    </r>
    <r>
      <rPr>
        <b/>
        <sz val="14"/>
        <color rgb="FFC00000"/>
        <rFont val="Aptos"/>
        <family val="2"/>
      </rPr>
      <t>*</t>
    </r>
  </si>
  <si>
    <t>GRANT — TIMING, TREATMENT &amp; SCENARIOS</t>
  </si>
  <si>
    <t>Enter the total grant amount requested. The equivalent bid amount per lifetime MWh delivered is calculated automatically.</t>
  </si>
  <si>
    <r>
      <rPr>
        <b/>
        <sz val="14"/>
        <color theme="1" tint="0.14999847407452621"/>
        <rFont val="Aptos"/>
        <family val="2"/>
      </rPr>
      <t>Grant Amount Requested ($)</t>
    </r>
    <r>
      <rPr>
        <b/>
        <sz val="14"/>
        <color rgb="FFC00000"/>
        <rFont val="Aptos"/>
        <family val="2"/>
      </rPr>
      <t>*</t>
    </r>
  </si>
  <si>
    <t>Bid Amount ($ requested/MWh lifetime)</t>
  </si>
  <si>
    <t>Grant Receipt at COD (Calendar Year)</t>
  </si>
  <si>
    <t>Lifetime MWh Delivered</t>
  </si>
  <si>
    <t>CALCULATED PARAMETERS</t>
  </si>
  <si>
    <t>Displays automatically calculated project capacities, capital costs, tax credits, financing amounts, and first-year generation based on the inputs above.</t>
  </si>
  <si>
    <t>Nameplate Capacity (DC) (MW)</t>
  </si>
  <si>
    <t>Storage Power Capacity (MW)</t>
  </si>
  <si>
    <t>Energy Capacity (MWh)</t>
  </si>
  <si>
    <t>Generation Total CapEx ($)</t>
  </si>
  <si>
    <t>Storage Total CapEx ($)</t>
  </si>
  <si>
    <t>Total CapEx ($)</t>
  </si>
  <si>
    <t>ITC Amount ($)</t>
  </si>
  <si>
    <t>Depreciable Basis ($)</t>
  </si>
  <si>
    <t>Debt Amount ($)</t>
  </si>
  <si>
    <t>Equity Contribution ($)</t>
  </si>
  <si>
    <t>Combined Tax Rate (%)</t>
  </si>
  <si>
    <t>Year-1 Generation (MWh)</t>
  </si>
  <si>
    <r>
      <t xml:space="preserve">PROJECT CASH FLOW | 35-YEAR SCENARIOS
</t>
    </r>
    <r>
      <rPr>
        <b/>
        <i/>
        <sz val="12.5"/>
        <color rgb="FF0070C0"/>
        <rFont val="Aptos"/>
        <family val="2"/>
      </rPr>
      <t>This worksheet is auto-calculated. No user inputs are expected.</t>
    </r>
  </si>
  <si>
    <t>Calendar Year</t>
  </si>
  <si>
    <t>Year (for internal coding purposes only)</t>
  </si>
  <si>
    <t>Generation &amp; Energy</t>
  </si>
  <si>
    <t>Generation (MWh)</t>
  </si>
  <si>
    <t>Blended Energy Price ($/MWh)</t>
  </si>
  <si>
    <t>Energy Revenue ($) Merchant</t>
  </si>
  <si>
    <t>Energy Revenue ($) PPA</t>
  </si>
  <si>
    <t>REC Revenue ($)</t>
  </si>
  <si>
    <t>Capacity Revenue ($) — Generation</t>
  </si>
  <si>
    <t>Thermal / Heat Revenue ($)</t>
  </si>
  <si>
    <t>Tipping / Other Revenue ($)</t>
  </si>
  <si>
    <t>Storage Revenues</t>
  </si>
  <si>
    <t>Available Energy Capacity (MWh)</t>
  </si>
  <si>
    <t>Capacity Revenue ($) — Storage</t>
  </si>
  <si>
    <t>Energy Arbitrage Revenue ($)</t>
  </si>
  <si>
    <t>Ancillary Services Revenue ($)</t>
  </si>
  <si>
    <t>Total Revenues</t>
  </si>
  <si>
    <t>Total Revenue ($)</t>
  </si>
  <si>
    <t>Operating Costs</t>
  </si>
  <si>
    <t>Fixed O&amp;M ($) — Generation</t>
  </si>
  <si>
    <t>Variable O&amp;M ($)</t>
  </si>
  <si>
    <t>Fixed O&amp;M ($) — Storage</t>
  </si>
  <si>
    <t>Variable O&amp;M ($) — Storage</t>
  </si>
  <si>
    <t>Fuel / Feedstock Cost ($)</t>
  </si>
  <si>
    <t>Land Lease ($)</t>
  </si>
  <si>
    <t>Augmentation Cost ($)</t>
  </si>
  <si>
    <t>Total Operating Costs ($)</t>
  </si>
  <si>
    <t>EBITDA ($)</t>
  </si>
  <si>
    <t>Tax, ITC &amp; Financing</t>
  </si>
  <si>
    <t>Depreciation Before Grant ($)</t>
  </si>
  <si>
    <t>Depreciation After Grant ($)</t>
  </si>
  <si>
    <t>Beginning Debt Balance ($)</t>
  </si>
  <si>
    <t>Interest Expense ($)</t>
  </si>
  <si>
    <t>Principal ($)</t>
  </si>
  <si>
    <t>Debt Service ($)</t>
  </si>
  <si>
    <t>Ending Debt Balance ($)</t>
  </si>
  <si>
    <t>Taxes ($) — Without Grant</t>
  </si>
  <si>
    <t>Tax Loss Carryforward — Without Grant</t>
  </si>
  <si>
    <t>Taxes ($) — With Grant</t>
  </si>
  <si>
    <t>Tax Loss Carryforward — With Grant</t>
  </si>
  <si>
    <t>ITC Without Grant ($)</t>
  </si>
  <si>
    <t>ITC With Grant ($)</t>
  </si>
  <si>
    <t>PTC Without Grant ($)</t>
  </si>
  <si>
    <t>PTC With Grant ($)</t>
  </si>
  <si>
    <t>Grant Cash Received ($)</t>
  </si>
  <si>
    <t>Free Cash Flows &amp; Coverage</t>
  </si>
  <si>
    <t>Unlevered Free Cash Flow ($) — Without Grant</t>
  </si>
  <si>
    <t>Unlevered Free Cash Flow ($) — With Grant</t>
  </si>
  <si>
    <t>Levered Free Cash Flow ($) — Without Grant</t>
  </si>
  <si>
    <t>Levered Free Cash Flow ($) — With Grant</t>
  </si>
  <si>
    <t>DSCR (x) — Without Grant</t>
  </si>
  <si>
    <t>DSCR (x) — With Grant</t>
  </si>
  <si>
    <t>Year-0/Year-N Grant Cash Adjustment ($)</t>
  </si>
  <si>
    <r>
      <t xml:space="preserve">PROJECT RETURNS — WITH AND WITHOUT GRANT
</t>
    </r>
    <r>
      <rPr>
        <b/>
        <i/>
        <sz val="12.5"/>
        <color rgb="FF0070C0"/>
        <rFont val="Aptos"/>
        <family val="2"/>
      </rPr>
      <t>This worksheet is auto-calculated. No user inputs are expected.</t>
    </r>
  </si>
  <si>
    <t>Metric</t>
  </si>
  <si>
    <t>Without Grant</t>
  </si>
  <si>
    <t>With Grant</t>
  </si>
  <si>
    <t>Equity IRR</t>
  </si>
  <si>
    <t>Unlevered Project IRR</t>
  </si>
  <si>
    <t>Minimum Annual DSCR</t>
  </si>
  <si>
    <t>Average DSCR (Debt Term)</t>
  </si>
  <si>
    <t>Total Equity Invested</t>
  </si>
  <si>
    <t>Total Debt</t>
  </si>
  <si>
    <t>Federal Tax Credit Value ($)</t>
  </si>
  <si>
    <t>Grant Cash Proceeds ($)</t>
  </si>
  <si>
    <t>Year-1 Total Revenue</t>
  </si>
  <si>
    <t>Year-1 Energy + REC Revenue</t>
  </si>
  <si>
    <t>Year-1 Solar Capacity Revenue</t>
  </si>
  <si>
    <t>Year-1 Storage Capacity Revenue</t>
  </si>
  <si>
    <t>Year-1 Arbitrage Revenue</t>
  </si>
  <si>
    <t>Year-1 Ancillary Revenue</t>
  </si>
  <si>
    <t>Year-1 Total Operating Costs ($)</t>
  </si>
  <si>
    <t>Year-1 EBITDA ($)</t>
  </si>
  <si>
    <t>Undiscounted Lifetime Net Cost ($/MWh)</t>
  </si>
  <si>
    <t>Payback Period (Unlevered)</t>
  </si>
  <si>
    <t>Annual Debt Service Coverage Ratios</t>
  </si>
  <si>
    <t>Operating Year</t>
  </si>
  <si>
    <t>DSCR Without Grant</t>
  </si>
  <si>
    <t>DSCR With Grant</t>
  </si>
  <si>
    <r>
      <t xml:space="preserve">Depreciation Support Schedule
</t>
    </r>
    <r>
      <rPr>
        <i/>
        <sz val="12.5"/>
        <color theme="1" tint="0.14999847407452621"/>
        <rFont val="Aptos"/>
        <family val="2"/>
      </rPr>
      <t>This worksheet is auto-calculated. No user inputs are expected.</t>
    </r>
  </si>
  <si>
    <t>Depreciation Method</t>
  </si>
  <si>
    <t>Depreciation Rate</t>
  </si>
  <si>
    <t>Calculated Depreciation – Without Grant</t>
  </si>
  <si>
    <t>Calculated Depreciation – With Grant</t>
  </si>
  <si>
    <t>Cash Flow Depreciation – Without Grant</t>
  </si>
  <si>
    <t>Cash Flow Depreciation – With Grant</t>
  </si>
  <si>
    <t>Difference – Without Grant</t>
  </si>
  <si>
    <t>Difference – With Grant</t>
  </si>
  <si>
    <r>
      <t xml:space="preserve">Dev Notes
</t>
    </r>
    <r>
      <rPr>
        <i/>
        <sz val="12"/>
        <color theme="1" tint="0.14999847407452621"/>
        <rFont val="Aptos"/>
        <family val="2"/>
      </rPr>
      <t>This tab is for internal use only. It is hidden from Applicants.</t>
    </r>
  </si>
  <si>
    <t>Type of Project</t>
  </si>
  <si>
    <t>Project Type Selection</t>
  </si>
  <si>
    <t>Solar PV</t>
  </si>
  <si>
    <t>Tier 1 RE</t>
  </si>
  <si>
    <t>Solar Thermal</t>
  </si>
  <si>
    <t>Storage</t>
  </si>
  <si>
    <t>Wind</t>
  </si>
  <si>
    <t>TIER 1 RE + Storage</t>
  </si>
  <si>
    <t>Hydro</t>
  </si>
  <si>
    <t>Fuel Cell</t>
  </si>
  <si>
    <t>Methane-from-Waste</t>
  </si>
  <si>
    <t>Wastewater-to-Heat</t>
  </si>
  <si>
    <t>Poultry Litter-to-Energy</t>
  </si>
  <si>
    <t>Biomass</t>
  </si>
  <si>
    <t>Geothermal</t>
  </si>
  <si>
    <t>Ocean</t>
  </si>
  <si>
    <t>Battery Storage</t>
  </si>
  <si>
    <t>Battery Technology</t>
  </si>
  <si>
    <t>Lifetime (years)</t>
  </si>
  <si>
    <t>Degradation Rate (%/yr)</t>
  </si>
  <si>
    <t>PJM Zone</t>
  </si>
  <si>
    <t>Transmission Owner / Utility</t>
  </si>
  <si>
    <t>Geographic Area</t>
  </si>
  <si>
    <t>Li-Ion LFP</t>
  </si>
  <si>
    <t>AECO</t>
  </si>
  <si>
    <t>Atlantic City Electric</t>
  </si>
  <si>
    <t>Southern New Jersey</t>
  </si>
  <si>
    <t>Li-Ion NMC</t>
  </si>
  <si>
    <t>AEP</t>
  </si>
  <si>
    <t>American Electric Power</t>
  </si>
  <si>
    <t>Ohio, Indiana, Michigan, Kentucky, Virginia, West Virginia, Tennessee</t>
  </si>
  <si>
    <t>Lead Acid</t>
  </si>
  <si>
    <t>APS</t>
  </si>
  <si>
    <t>Allegheny Power</t>
  </si>
  <si>
    <t>Pennsylvania, Maryland, West Virginia, Virginia</t>
  </si>
  <si>
    <t>Zinc</t>
  </si>
  <si>
    <t>ATSI</t>
  </si>
  <si>
    <t>American Transmission Systems, Inc. (FirstEnergy)</t>
  </si>
  <si>
    <t>Ohio and western Pennsylvania</t>
  </si>
  <si>
    <t>Vanadium Redox Flow</t>
  </si>
  <si>
    <t>BGE</t>
  </si>
  <si>
    <t>Baltimore Gas and Electric</t>
  </si>
  <si>
    <t>Maryland</t>
  </si>
  <si>
    <t>Pumped Storage Hydropower (PSH)</t>
  </si>
  <si>
    <t>COMED</t>
  </si>
  <si>
    <t>Commonwealth Edison</t>
  </si>
  <si>
    <t>Northern Illinois (including Chicago)</t>
  </si>
  <si>
    <t>Other</t>
  </si>
  <si>
    <t>-</t>
  </si>
  <si>
    <t>DAY</t>
  </si>
  <si>
    <t>Dayton (AES Ohio)</t>
  </si>
  <si>
    <t>Ohio</t>
  </si>
  <si>
    <t>DEOK</t>
  </si>
  <si>
    <t>Duke Energy Ohio and Kentucky</t>
  </si>
  <si>
    <t>Ohio and Kentucky</t>
  </si>
  <si>
    <t>DOM</t>
  </si>
  <si>
    <t>Dominion Energy</t>
  </si>
  <si>
    <t>Virginia and northeastern North Carolina</t>
  </si>
  <si>
    <t>Solar PV Technology</t>
  </si>
  <si>
    <t>DPL</t>
  </si>
  <si>
    <t>Delmarva Power</t>
  </si>
  <si>
    <t>Delaware and Maryland's Eastern Shore</t>
  </si>
  <si>
    <t>n-type mono (Conventional)</t>
  </si>
  <si>
    <t>DUQ</t>
  </si>
  <si>
    <t>Duquesne Light</t>
  </si>
  <si>
    <t>Pittsburgh area, Pennsylvania</t>
  </si>
  <si>
    <t>p-type mono PERC</t>
  </si>
  <si>
    <t>EKPC</t>
  </si>
  <si>
    <t>East Kentucky Power Cooperative</t>
  </si>
  <si>
    <t>Kentucky</t>
  </si>
  <si>
    <t>Heterojunction (HJT/SHJ)</t>
  </si>
  <si>
    <t>JCPL</t>
  </si>
  <si>
    <t>Jersey Central Power &amp; Light</t>
  </si>
  <si>
    <t>New Jersey</t>
  </si>
  <si>
    <t>Back-contact (IBC)</t>
  </si>
  <si>
    <t>METED</t>
  </si>
  <si>
    <t>Metropolitan Edison</t>
  </si>
  <si>
    <t>Eastern Pennsylvania</t>
  </si>
  <si>
    <t>CdTe thin film</t>
  </si>
  <si>
    <t>OVEC</t>
  </si>
  <si>
    <t>Ohio Valley Electric Corporation</t>
  </si>
  <si>
    <t>Indiana, Kentucky, Ohio</t>
  </si>
  <si>
    <t>Multi-Si Al-BSF</t>
  </si>
  <si>
    <t>PECO</t>
  </si>
  <si>
    <t>PECO Energy</t>
  </si>
  <si>
    <t>Philadelphia area, Pennsylvania</t>
  </si>
  <si>
    <t>PENELEC</t>
  </si>
  <si>
    <t>Pennsylvania Electric</t>
  </si>
  <si>
    <t>Central and western Pennsylvania</t>
  </si>
  <si>
    <t>PEPCO</t>
  </si>
  <si>
    <t>Potomac Electric Power</t>
  </si>
  <si>
    <t>Washington, D.C., and Maryland</t>
  </si>
  <si>
    <t>PPL</t>
  </si>
  <si>
    <t>PPL Electric Utilities</t>
  </si>
  <si>
    <t>Eastern and central Pennsylvania</t>
  </si>
  <si>
    <t>Wind Technology</t>
  </si>
  <si>
    <t>PSEG</t>
  </si>
  <si>
    <t>Public Service Electric and Gas</t>
  </si>
  <si>
    <t>Northern and central New Jersey</t>
  </si>
  <si>
    <t>Land-based, geared drivetrain</t>
  </si>
  <si>
    <t>RECO</t>
  </si>
  <si>
    <t>Rockland Electric</t>
  </si>
  <si>
    <t>Northern New Jersey</t>
  </si>
  <si>
    <t>Land-based, direct-drive</t>
  </si>
  <si>
    <t>Lifetime</t>
  </si>
  <si>
    <t>Degradation Rate (%)</t>
  </si>
  <si>
    <t>Eligible for IRA Tax Credits?</t>
  </si>
  <si>
    <t>Yes - Generation and/or Storage</t>
  </si>
  <si>
    <t>Storage Only</t>
  </si>
  <si>
    <t>No</t>
  </si>
  <si>
    <t>Generation Tax Credit Election</t>
  </si>
  <si>
    <t>ITC</t>
  </si>
  <si>
    <t>PTC</t>
  </si>
  <si>
    <t xml:space="preserve">Geothermal </t>
  </si>
  <si>
    <t xml:space="preserve">Lifetime </t>
  </si>
  <si>
    <t>Formatting Notes</t>
  </si>
  <si>
    <t>Font</t>
  </si>
  <si>
    <t>Aptos</t>
  </si>
  <si>
    <t>Column headings in sections</t>
  </si>
  <si>
    <t>size 16, Bold</t>
  </si>
  <si>
    <t>field names</t>
  </si>
  <si>
    <t>size 14</t>
  </si>
  <si>
    <t>User inputs</t>
  </si>
  <si>
    <t>size 18, navy blue on yellow background</t>
  </si>
  <si>
    <t>Auto-calculated fields</t>
  </si>
  <si>
    <t>size 18, dark blue on gray</t>
  </si>
  <si>
    <t>Text in cells</t>
  </si>
  <si>
    <t>Left indent, 1</t>
  </si>
  <si>
    <t>Border Colors</t>
  </si>
  <si>
    <t>#A6A6A6 for bounding boxes -- external borders (only)</t>
  </si>
  <si>
    <t>#D9D9D9 for internal borders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</si>
</sst>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Red]\(0.0%\);\–"/>
    <numFmt numFmtId="165" formatCode="#,##0;[Red]\(#,##0\);\–"/>
    <numFmt numFmtId="166" formatCode="#,##0.00;[Red]\(#,##0.00\);\–"/>
    <numFmt numFmtId="167" formatCode="_(* #,##0_);_(* \(#,##0\);_(* &quot;-&quot;??_);_(@_)"/>
    <numFmt numFmtId="168" formatCode="_(&quot;$&quot;* #,##0_);_(&quot;$&quot;* \(#,##0\);_(&quot;$&quot;* &quot;-&quot;??_);_(@_)"/>
    <numFmt numFmtId="169" formatCode="0.00%;[Red]\(0.00%\);\–"/>
    <numFmt numFmtId="170" formatCode="0.0%"/>
  </numFmts>
  <fonts count="67">
    <font>
      <sz val="11"/>
      <name val="Carlito"/>
    </font>
    <font>
      <sz val="10"/>
      <color rgb="FF000000"/>
      <name val="Calibri"/>
      <family val="2"/>
      <scheme val="minor"/>
    </font>
    <font>
      <sz val="60"/>
      <color rgb="FF000000"/>
      <name val="Aptos"/>
      <family val="2"/>
    </font>
    <font>
      <sz val="10"/>
      <color theme="9" tint="0.39997558519241921"/>
      <name val="Aptos"/>
      <family val="2"/>
    </font>
    <font>
      <sz val="10"/>
      <color rgb="FF000000"/>
      <name val="Aptos"/>
      <family val="2"/>
    </font>
    <font>
      <b/>
      <sz val="26"/>
      <color theme="1" tint="0.14999847407452621"/>
      <name val="Aptos"/>
      <family val="2"/>
    </font>
    <font>
      <b/>
      <i/>
      <sz val="14"/>
      <color theme="1" tint="0.14999847407452621"/>
      <name val="Aptos"/>
      <family val="2"/>
    </font>
    <font>
      <b/>
      <sz val="16"/>
      <color theme="1" tint="0.14999847407452621"/>
      <name val="Aptos"/>
      <family val="2"/>
    </font>
    <font>
      <sz val="14"/>
      <color rgb="FF000000"/>
      <name val="Aptos"/>
      <family val="2"/>
    </font>
    <font>
      <sz val="18"/>
      <color rgb="FF0070C0"/>
      <name val="Aptos"/>
      <family val="2"/>
    </font>
    <font>
      <sz val="18"/>
      <color rgb="FFF0F9FA"/>
      <name val="Aptos"/>
      <family val="2"/>
    </font>
    <font>
      <sz val="20"/>
      <color theme="1" tint="0.14999847407452621"/>
      <name val="Aptos"/>
      <family val="2"/>
    </font>
    <font>
      <b/>
      <sz val="18"/>
      <color theme="1" tint="0.14999847407452621"/>
      <name val="Aptos"/>
      <family val="2"/>
    </font>
    <font>
      <b/>
      <sz val="18"/>
      <color rgb="FF000000"/>
      <name val="Aptos"/>
      <family val="2"/>
    </font>
    <font>
      <i/>
      <sz val="14"/>
      <color theme="1" tint="0.14999847407452621"/>
      <name val="Aptos"/>
      <family val="2"/>
    </font>
    <font>
      <b/>
      <i/>
      <sz val="16"/>
      <color theme="1" tint="0.14999847407452621"/>
      <name val="Aptos"/>
      <family val="2"/>
    </font>
    <font>
      <b/>
      <i/>
      <sz val="16"/>
      <color rgb="FF000000"/>
      <name val="Aptos"/>
      <family val="2"/>
    </font>
    <font>
      <b/>
      <sz val="14"/>
      <color theme="1" tint="0.14999847407452621"/>
      <name val="Aptos"/>
      <family val="2"/>
    </font>
    <font>
      <sz val="10"/>
      <color rgb="FF000000"/>
      <name val="Calibri"/>
      <family val="2"/>
      <scheme val="minor"/>
    </font>
    <font>
      <sz val="14"/>
      <name val="Aptos"/>
      <family val="2"/>
    </font>
    <font>
      <u/>
      <sz val="10"/>
      <color theme="10"/>
      <name val="Calibri"/>
      <family val="2"/>
      <scheme val="minor"/>
    </font>
    <font>
      <sz val="14"/>
      <color theme="1" tint="0.14999847407452621"/>
      <name val="Aptos"/>
      <family val="2"/>
    </font>
    <font>
      <b/>
      <sz val="22"/>
      <color rgb="FF1B5559"/>
      <name val="Aptos"/>
      <family val="2"/>
    </font>
    <font>
      <sz val="18"/>
      <color theme="1" tint="0.14999847407452621"/>
      <name val="Aptos"/>
      <family val="2"/>
    </font>
    <font>
      <b/>
      <sz val="20"/>
      <color rgb="FF000000"/>
      <name val="Aptos"/>
      <family val="2"/>
    </font>
    <font>
      <sz val="10"/>
      <color theme="1" tint="0.14999847407452621"/>
      <name val="Aptos"/>
      <family val="2"/>
    </font>
    <font>
      <b/>
      <sz val="20"/>
      <color theme="1" tint="0.14999847407452621"/>
      <name val="Aptos"/>
      <family val="2"/>
    </font>
    <font>
      <sz val="18"/>
      <color rgb="FF000000"/>
      <name val="Aptos"/>
      <family val="2"/>
    </font>
    <font>
      <sz val="18"/>
      <name val="Aptos"/>
      <family val="2"/>
    </font>
    <font>
      <sz val="10"/>
      <color rgb="FF2D8F49"/>
      <name val="Aptos"/>
      <family val="2"/>
    </font>
    <font>
      <sz val="11"/>
      <name val="Carlito"/>
    </font>
    <font>
      <sz val="16"/>
      <color rgb="FFFF0000"/>
      <name val="Aptos"/>
      <family val="2"/>
    </font>
    <font>
      <b/>
      <sz val="14"/>
      <color rgb="FF000000"/>
      <name val="Aptos"/>
      <family val="2"/>
    </font>
    <font>
      <i/>
      <sz val="16"/>
      <color theme="1" tint="0.249977111117893"/>
      <name val="Aptos"/>
      <family val="2"/>
    </font>
    <font>
      <sz val="16"/>
      <color theme="1" tint="0.14999847407452621"/>
      <name val="Aptos"/>
      <family val="2"/>
    </font>
    <font>
      <i/>
      <u/>
      <sz val="16"/>
      <color theme="9" tint="-0.499984740745262"/>
      <name val="Aptos"/>
      <family val="2"/>
    </font>
    <font>
      <b/>
      <sz val="16"/>
      <color rgb="FFFF0000"/>
      <name val="Calibri"/>
      <family val="2"/>
      <scheme val="minor"/>
    </font>
    <font>
      <sz val="16"/>
      <color rgb="FFF0F9FA"/>
      <name val="Aptos"/>
      <family val="2"/>
    </font>
    <font>
      <b/>
      <sz val="14"/>
      <color rgb="FFC00000"/>
      <name val="Aptos"/>
      <family val="2"/>
    </font>
    <font>
      <sz val="16"/>
      <color rgb="FF00B050"/>
      <name val="Aptos"/>
      <family val="2"/>
    </font>
    <font>
      <sz val="18"/>
      <color rgb="FF004064"/>
      <name val="Aptos"/>
      <family val="2"/>
    </font>
    <font>
      <sz val="8"/>
      <name val="Carlito"/>
    </font>
    <font>
      <b/>
      <sz val="11"/>
      <color theme="1" tint="0.14999847407452621"/>
      <name val="Aptos"/>
      <family val="2"/>
    </font>
    <font>
      <sz val="11"/>
      <name val="Aptos"/>
      <family val="2"/>
    </font>
    <font>
      <i/>
      <sz val="14"/>
      <color rgb="FFC00000"/>
      <name val="Aptos"/>
      <family val="2"/>
    </font>
    <font>
      <sz val="11"/>
      <color theme="1" tint="0.14999847407452621"/>
      <name val="Aptos"/>
      <family val="2"/>
    </font>
    <font>
      <i/>
      <sz val="11"/>
      <color theme="1" tint="0.14999847407452621"/>
      <name val="Aptos"/>
      <family val="2"/>
    </font>
    <font>
      <i/>
      <sz val="12.5"/>
      <color theme="1" tint="0.14999847407452621"/>
      <name val="Aptos"/>
      <family val="2"/>
    </font>
    <font>
      <b/>
      <sz val="12"/>
      <color theme="1" tint="0.14999847407452621"/>
      <name val="Aptos"/>
      <family val="2"/>
    </font>
    <font>
      <b/>
      <sz val="12"/>
      <name val="Aptos"/>
      <family val="2"/>
    </font>
    <font>
      <sz val="12"/>
      <name val="Aptos"/>
      <family val="2"/>
    </font>
    <font>
      <sz val="12"/>
      <name val="Carlito"/>
    </font>
    <font>
      <sz val="11"/>
      <color theme="1" tint="0.14999847407452621"/>
      <name val="Carlito"/>
    </font>
    <font>
      <i/>
      <sz val="11"/>
      <color theme="1" tint="0.14999847407452621"/>
      <name val="Aptos Light"/>
      <family val="2"/>
    </font>
    <font>
      <sz val="11"/>
      <color rgb="FF004064"/>
      <name val="Aptos"/>
      <family val="2"/>
    </font>
    <font>
      <sz val="11"/>
      <color rgb="FF004064"/>
      <name val="Carlito"/>
    </font>
    <font>
      <b/>
      <sz val="11"/>
      <color rgb="FF004064"/>
      <name val="Aptos"/>
      <family val="2"/>
    </font>
    <font>
      <b/>
      <sz val="16"/>
      <color rgb="FF1B5559"/>
      <name val="Aptos"/>
      <family val="2"/>
    </font>
    <font>
      <b/>
      <sz val="22"/>
      <color theme="1" tint="0.14999847407452621"/>
      <name val="Aptos"/>
      <family val="2"/>
    </font>
    <font>
      <i/>
      <sz val="12"/>
      <color theme="1" tint="0.14999847407452621"/>
      <name val="Aptos"/>
      <family val="2"/>
    </font>
    <font>
      <i/>
      <sz val="16"/>
      <color rgb="FF0070C0"/>
      <name val="Aptos"/>
      <family val="2"/>
    </font>
    <font>
      <b/>
      <i/>
      <sz val="16"/>
      <color rgb="FF0070C0"/>
      <name val="Aptos"/>
      <family val="2"/>
    </font>
    <font>
      <b/>
      <i/>
      <sz val="14"/>
      <color rgb="FF0070C0"/>
      <name val="Aptos"/>
      <family val="2"/>
    </font>
    <font>
      <b/>
      <i/>
      <sz val="12.5"/>
      <color rgb="FF0070C0"/>
      <name val="Aptos"/>
      <family val="2"/>
    </font>
    <font>
      <sz val="9"/>
      <color rgb="FF000000"/>
      <name val="Aptos"/>
      <family val="2"/>
    </font>
    <font>
      <sz val="16"/>
      <color theme="1"/>
      <name val="Aptos"/>
      <family val="2"/>
    </font>
    <font>
      <sz val="11"/>
      <color rgb="FF0070C0"/>
      <name val="Aptos"/>
      <family val="2"/>
    </font>
  </fonts>
  <fills count="17">
    <fill>
      <patternFill patternType="none"/>
    </fill>
    <fill>
      <patternFill patternType="gray125"/>
    </fill>
    <fill>
      <patternFill patternType="solid">
        <fgColor rgb="FFE8F5F5"/>
      </patternFill>
    </fill>
    <fill>
      <patternFill patternType="solid">
        <fgColor rgb="FF004064"/>
        <bgColor indexed="64"/>
      </patternFill>
    </fill>
    <fill>
      <patternFill patternType="solid">
        <fgColor rgb="FFFFFFFF"/>
        <bgColor indexed="64"/>
      </patternFill>
    </fill>
    <fill>
      <patternFill patternType="solid">
        <fgColor rgb="FFF0F9FA"/>
        <bgColor indexed="64"/>
      </patternFill>
    </fill>
    <fill>
      <patternFill patternType="solid">
        <fgColor rgb="FF8ED7DD"/>
        <bgColor indexed="64"/>
      </patternFill>
    </fill>
    <fill>
      <patternFill patternType="solid">
        <fgColor rgb="FFDAF1F3"/>
        <bgColor indexed="64"/>
      </patternFill>
    </fill>
    <fill>
      <patternFill patternType="solid">
        <fgColor rgb="FFEDF8F9"/>
        <bgColor indexed="64"/>
      </patternFill>
    </fill>
    <fill>
      <patternFill patternType="solid">
        <fgColor rgb="FFB5E3E8"/>
        <bgColor indexed="64"/>
      </patternFill>
    </fill>
    <fill>
      <patternFill patternType="solid">
        <fgColor rgb="FFE8F5F5"/>
        <bgColor indexed="64"/>
      </patternFill>
    </fill>
    <fill>
      <patternFill patternType="solid">
        <fgColor rgb="FFF2F4F7"/>
        <bgColor indexed="64"/>
      </patternFill>
    </fill>
    <fill>
      <patternFill patternType="solid">
        <fgColor rgb="FFFFF9E6"/>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112">
    <border>
      <left/>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34998626667073579"/>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3743705557422"/>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6795556505021"/>
      </bottom>
      <diagonal/>
    </border>
    <border>
      <left style="thin">
        <color theme="0" tint="-0.34998626667073579"/>
      </left>
      <right/>
      <top style="thin">
        <color theme="0" tint="-0.14996795556505021"/>
      </top>
      <bottom/>
      <diagonal/>
    </border>
    <border>
      <left style="thin">
        <color theme="0" tint="-0.34998626667073579"/>
      </left>
      <right/>
      <top/>
      <bottom style="thin">
        <color theme="0" tint="-0.14996795556505021"/>
      </bottom>
      <diagonal/>
    </border>
    <border>
      <left/>
      <right/>
      <top style="thin">
        <color theme="0" tint="-0.14996795556505021"/>
      </top>
      <bottom style="thin">
        <color theme="0" tint="-0.34998626667073579"/>
      </bottom>
      <diagonal/>
    </border>
    <border>
      <left/>
      <right style="thin">
        <color theme="0" tint="-0.34998626667073579"/>
      </right>
      <top style="thin">
        <color theme="0" tint="-0.14996795556505021"/>
      </top>
      <bottom style="thin">
        <color theme="0" tint="-0.34998626667073579"/>
      </bottom>
      <diagonal/>
    </border>
    <border>
      <left style="thin">
        <color theme="0" tint="-0.34998626667073579"/>
      </left>
      <right/>
      <top/>
      <bottom style="thin">
        <color theme="0" tint="-0.24994659260841701"/>
      </bottom>
      <diagonal/>
    </border>
    <border>
      <left/>
      <right/>
      <top/>
      <bottom style="thin">
        <color theme="0" tint="-0.24994659260841701"/>
      </bottom>
      <diagonal/>
    </border>
    <border>
      <left/>
      <right/>
      <top style="thin">
        <color theme="0" tint="-0.14996795556505021"/>
      </top>
      <bottom/>
      <diagonal/>
    </border>
    <border>
      <left/>
      <right style="thin">
        <color theme="0" tint="-0.34998626667073579"/>
      </right>
      <top style="thin">
        <color theme="0" tint="-0.14996795556505021"/>
      </top>
      <bottom/>
      <diagonal/>
    </border>
    <border>
      <left/>
      <right/>
      <top/>
      <bottom style="thin">
        <color theme="0" tint="-0.14996795556505021"/>
      </bottom>
      <diagonal/>
    </border>
    <border>
      <left/>
      <right style="thin">
        <color theme="0" tint="-0.34998626667073579"/>
      </right>
      <top/>
      <bottom style="thin">
        <color theme="0" tint="-0.14996795556505021"/>
      </bottom>
      <diagonal/>
    </border>
    <border>
      <left/>
      <right style="thin">
        <color theme="0" tint="-0.14993743705557422"/>
      </right>
      <top style="thin">
        <color theme="0" tint="-0.14996795556505021"/>
      </top>
      <bottom style="thin">
        <color theme="0" tint="-0.34998626667073579"/>
      </bottom>
      <diagonal/>
    </border>
    <border>
      <left style="thin">
        <color theme="0" tint="-0.34998626667073579"/>
      </left>
      <right/>
      <top style="thin">
        <color theme="0" tint="-0.34998626667073579"/>
      </top>
      <bottom style="thin">
        <color theme="0" tint="-0.14996795556505021"/>
      </bottom>
      <diagonal/>
    </border>
    <border>
      <left/>
      <right/>
      <top style="thin">
        <color theme="0" tint="-0.34998626667073579"/>
      </top>
      <bottom style="thin">
        <color theme="0" tint="-0.14996795556505021"/>
      </bottom>
      <diagonal/>
    </border>
    <border>
      <left/>
      <right style="thin">
        <color theme="0" tint="-0.34998626667073579"/>
      </right>
      <top style="thin">
        <color theme="0" tint="-0.34998626667073579"/>
      </top>
      <bottom style="thin">
        <color theme="0" tint="-0.14996795556505021"/>
      </bottom>
      <diagonal/>
    </border>
    <border>
      <left style="thin">
        <color theme="0" tint="-0.34998626667073579"/>
      </left>
      <right/>
      <top style="thin">
        <color theme="0" tint="-0.14996795556505021"/>
      </top>
      <bottom style="thin">
        <color theme="0" tint="-0.14999847407452621"/>
      </bottom>
      <diagonal/>
    </border>
    <border>
      <left/>
      <right/>
      <top style="thin">
        <color theme="0" tint="-0.14996795556505021"/>
      </top>
      <bottom style="thin">
        <color theme="0" tint="-0.14999847407452621"/>
      </bottom>
      <diagonal/>
    </border>
    <border>
      <left/>
      <right/>
      <top/>
      <bottom style="thin">
        <color rgb="FF004064"/>
      </bottom>
      <diagonal/>
    </border>
    <border>
      <left style="thin">
        <color theme="0" tint="-0.14993743705557422"/>
      </left>
      <right/>
      <top style="thin">
        <color theme="0" tint="-0.14996795556505021"/>
      </top>
      <bottom style="thin">
        <color theme="0" tint="-0.14996795556505021"/>
      </bottom>
      <diagonal/>
    </border>
    <border>
      <left/>
      <right style="thin">
        <color theme="0" tint="-0.14990691854609822"/>
      </right>
      <top style="thin">
        <color theme="0" tint="-0.14990691854609822"/>
      </top>
      <bottom style="thin">
        <color theme="0" tint="-0.14990691854609822"/>
      </bottom>
      <diagonal/>
    </border>
    <border>
      <left style="thin">
        <color theme="0" tint="-0.14990691854609822"/>
      </left>
      <right/>
      <top style="thin">
        <color theme="0" tint="-0.14996795556505021"/>
      </top>
      <bottom style="thin">
        <color theme="0" tint="-0.14996795556505021"/>
      </bottom>
      <diagonal/>
    </border>
    <border>
      <left style="thin">
        <color theme="0" tint="-0.14990691854609822"/>
      </left>
      <right/>
      <top style="thin">
        <color theme="0" tint="-0.14990691854609822"/>
      </top>
      <bottom style="thin">
        <color theme="0" tint="-0.14990691854609822"/>
      </bottom>
      <diagonal/>
    </border>
    <border>
      <left/>
      <right style="thin">
        <color theme="0" tint="-0.34998626667073579"/>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34998626667073579"/>
      </bottom>
      <diagonal/>
    </border>
    <border>
      <left style="thin">
        <color theme="0" tint="-0.14990691854609822"/>
      </left>
      <right/>
      <top style="thin">
        <color theme="0" tint="-0.14990691854609822"/>
      </top>
      <bottom style="thin">
        <color theme="0" tint="-0.34998626667073579"/>
      </bottom>
      <diagonal/>
    </border>
    <border>
      <left/>
      <right/>
      <top style="thin">
        <color theme="0" tint="-0.14990691854609822"/>
      </top>
      <bottom style="thin">
        <color theme="0" tint="-0.14990691854609822"/>
      </bottom>
      <diagonal/>
    </border>
    <border>
      <left/>
      <right style="thin">
        <color theme="0" tint="-0.14996795556505021"/>
      </right>
      <top style="thin">
        <color theme="0" tint="-0.14990691854609822"/>
      </top>
      <bottom style="thin">
        <color theme="0" tint="-0.14990691854609822"/>
      </bottom>
      <diagonal/>
    </border>
    <border>
      <left/>
      <right style="thin">
        <color theme="0" tint="-0.14996795556505021"/>
      </right>
      <top style="thin">
        <color theme="0" tint="-0.14996795556505021"/>
      </top>
      <bottom style="thin">
        <color theme="0" tint="-0.14993743705557422"/>
      </bottom>
      <diagonal/>
    </border>
    <border>
      <left/>
      <right style="thin">
        <color theme="0" tint="-0.14990691854609822"/>
      </right>
      <top style="thin">
        <color theme="0" tint="-0.14990691854609822"/>
      </top>
      <bottom style="thin">
        <color theme="0" tint="-0.14996795556505021"/>
      </bottom>
      <diagonal/>
    </border>
    <border>
      <left/>
      <right style="thin">
        <color theme="0" tint="-0.34998626667073579"/>
      </right>
      <top style="thin">
        <color theme="0" tint="-0.14996795556505021"/>
      </top>
      <bottom style="thin">
        <color theme="0" tint="-0.14990691854609822"/>
      </bottom>
      <diagonal/>
    </border>
    <border>
      <left/>
      <right style="thin">
        <color theme="0" tint="-0.14993743705557422"/>
      </right>
      <top style="thin">
        <color theme="0" tint="-0.14996795556505021"/>
      </top>
      <bottom style="thin">
        <color theme="0" tint="-0.14990691854609822"/>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0691854609822"/>
      </right>
      <top style="thin">
        <color theme="0" tint="-0.14996795556505021"/>
      </top>
      <bottom style="thin">
        <color theme="0" tint="-0.14996795556505021"/>
      </bottom>
      <diagonal/>
    </border>
    <border>
      <left/>
      <right style="thin">
        <color theme="0" tint="-0.34998626667073579"/>
      </right>
      <top style="thin">
        <color theme="0" tint="-0.14990691854609822"/>
      </top>
      <bottom style="thin">
        <color theme="0" tint="-0.34998626667073579"/>
      </bottom>
      <diagonal/>
    </border>
    <border>
      <left/>
      <right style="thin">
        <color theme="0" tint="-0.14993743705557422"/>
      </right>
      <top/>
      <bottom style="thin">
        <color theme="0" tint="-0.14996795556505021"/>
      </bottom>
      <diagonal/>
    </border>
    <border>
      <left/>
      <right/>
      <top style="thin">
        <color theme="0" tint="-0.14990691854609822"/>
      </top>
      <bottom style="thin">
        <color theme="0" tint="-0.34998626667073579"/>
      </bottom>
      <diagonal/>
    </border>
    <border>
      <left/>
      <right style="thin">
        <color theme="0" tint="-0.14993743705557422"/>
      </right>
      <top style="thin">
        <color theme="0" tint="-0.14993743705557422"/>
      </top>
      <bottom style="thin">
        <color theme="0" tint="-0.34998626667073579"/>
      </bottom>
      <diagonal/>
    </border>
    <border>
      <left style="thin">
        <color theme="0" tint="-0.14996795556505021"/>
      </left>
      <right/>
      <top style="thin">
        <color theme="0" tint="-0.14996795556505021"/>
      </top>
      <bottom style="thin">
        <color theme="0" tint="-0.14993743705557422"/>
      </bottom>
      <diagonal/>
    </border>
    <border>
      <left/>
      <right style="thin">
        <color theme="0" tint="-0.14990691854609822"/>
      </right>
      <top style="thin">
        <color theme="0" tint="-0.14996795556505021"/>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34998626667073579"/>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24994659260841701"/>
      </right>
      <top style="thin">
        <color theme="0" tint="-0.14996795556505021"/>
      </top>
      <bottom style="thin">
        <color theme="0" tint="-0.14996795556505021"/>
      </bottom>
      <diagonal/>
    </border>
    <border>
      <left style="thin">
        <color theme="0" tint="-0.24994659260841701"/>
      </left>
      <right style="thin">
        <color theme="0" tint="-0.14996795556505021"/>
      </right>
      <top style="thin">
        <color theme="0" tint="-0.14996795556505021"/>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24994659260841701"/>
      </bottom>
      <diagonal/>
    </border>
    <border>
      <left style="thin">
        <color theme="0" tint="-0.14996795556505021"/>
      </left>
      <right style="thin">
        <color theme="0" tint="-0.24994659260841701"/>
      </right>
      <top style="thin">
        <color theme="0" tint="-0.14996795556505021"/>
      </top>
      <bottom style="thin">
        <color theme="0" tint="-0.24994659260841701"/>
      </bottom>
      <diagonal/>
    </border>
    <border>
      <left/>
      <right style="thin">
        <color theme="0" tint="-0.34998626667073579"/>
      </right>
      <top style="thin">
        <color theme="0" tint="-0.14993743705557422"/>
      </top>
      <bottom style="thin">
        <color theme="0" tint="-0.14990691854609822"/>
      </bottom>
      <diagonal/>
    </border>
    <border>
      <left/>
      <right/>
      <top style="thin">
        <color theme="0" tint="-0.14993743705557422"/>
      </top>
      <bottom style="thin">
        <color theme="0" tint="-0.14990691854609822"/>
      </bottom>
      <diagonal/>
    </border>
    <border>
      <left/>
      <right style="thin">
        <color theme="0" tint="-0.34998626667073579"/>
      </right>
      <top style="thin">
        <color theme="0" tint="-0.14993743705557422"/>
      </top>
      <bottom style="thin">
        <color theme="0" tint="-0.34998626667073579"/>
      </bottom>
      <diagonal/>
    </border>
    <border>
      <left/>
      <right/>
      <top style="thin">
        <color theme="0" tint="-0.14990691854609822"/>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right style="thin">
        <color theme="0" tint="-0.14990691854609822"/>
      </right>
      <top style="thin">
        <color theme="0" tint="-0.14993743705557422"/>
      </top>
      <bottom style="thin">
        <color theme="0" tint="-0.14993743705557422"/>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6795556505021"/>
      </top>
      <bottom style="thin">
        <color theme="0" tint="-0.14999847407452621"/>
      </bottom>
      <diagonal/>
    </border>
    <border>
      <left style="thin">
        <color theme="0" tint="-0.14999847407452621"/>
      </left>
      <right style="thin">
        <color theme="0" tint="-0.14996795556505021"/>
      </right>
      <top style="thin">
        <color theme="0" tint="-0.14999847407452621"/>
      </top>
      <bottom style="thin">
        <color theme="0" tint="-0.14996795556505021"/>
      </bottom>
      <diagonal/>
    </border>
    <border>
      <left style="thin">
        <color theme="0" tint="-0.34998626667073579"/>
      </left>
      <right style="thin">
        <color theme="0" tint="-0.34998626667073579"/>
      </right>
      <top/>
      <bottom/>
      <diagonal/>
    </border>
    <border>
      <left/>
      <right style="thin">
        <color theme="0" tint="-0.34998626667073579"/>
      </right>
      <top style="thin">
        <color theme="0" tint="-0.14996795556505021"/>
      </top>
      <bottom style="thin">
        <color rgb="FFD9D9D9"/>
      </bottom>
      <diagonal/>
    </border>
    <border>
      <left/>
      <right/>
      <top/>
      <bottom style="thin">
        <color theme="0" tint="-0.14993743705557422"/>
      </bottom>
      <diagonal/>
    </border>
    <border>
      <left/>
      <right style="thin">
        <color rgb="FFA6A6A6"/>
      </right>
      <top/>
      <bottom style="thin">
        <color theme="0" tint="-0.14993743705557422"/>
      </bottom>
      <diagonal/>
    </border>
    <border>
      <left style="thin">
        <color theme="0" tint="-0.14993743705557422"/>
      </left>
      <right/>
      <top style="thin">
        <color theme="0" tint="-0.14990691854609822"/>
      </top>
      <bottom style="thin">
        <color theme="0" tint="-0.14990691854609822"/>
      </bottom>
      <diagonal/>
    </border>
    <border>
      <left/>
      <right style="thin">
        <color theme="0" tint="-0.14996795556505021"/>
      </right>
      <top style="thin">
        <color theme="0" tint="-0.14996795556505021"/>
      </top>
      <bottom style="thin">
        <color theme="0" tint="-0.34998626667073579"/>
      </bottom>
      <diagonal/>
    </border>
    <border>
      <left style="thin">
        <color theme="0" tint="-0.14993743705557422"/>
      </left>
      <right/>
      <top style="thin">
        <color theme="0" tint="-0.14996795556505021"/>
      </top>
      <bottom style="thin">
        <color theme="0" tint="-0.14990691854609822"/>
      </bottom>
      <diagonal/>
    </border>
    <border>
      <left style="thin">
        <color theme="0" tint="-0.14990691854609822"/>
      </left>
      <right/>
      <top style="thin">
        <color theme="0" tint="-0.14990691854609822"/>
      </top>
      <bottom style="thin">
        <color theme="0" tint="-0.1498764000366222"/>
      </bottom>
      <diagonal/>
    </border>
    <border>
      <left/>
      <right style="thin">
        <color theme="0" tint="-0.14993743705557422"/>
      </right>
      <top style="thin">
        <color theme="0" tint="-0.14996795556505021"/>
      </top>
      <bottom style="thin">
        <color theme="0" tint="-0.1498764000366222"/>
      </bottom>
      <diagonal/>
    </border>
    <border>
      <left/>
      <right/>
      <top style="thin">
        <color theme="0" tint="-0.14990691854609822"/>
      </top>
      <bottom style="thin">
        <color theme="0" tint="-0.1498764000366222"/>
      </bottom>
      <diagonal/>
    </border>
    <border>
      <left/>
      <right/>
      <top style="thin">
        <color theme="0" tint="-0.14996795556505021"/>
      </top>
      <bottom style="thin">
        <color theme="0" tint="-0.1498764000366222"/>
      </bottom>
      <diagonal/>
    </border>
    <border>
      <left/>
      <right style="thin">
        <color theme="0" tint="-0.34998626667073579"/>
      </right>
      <top style="thin">
        <color theme="0" tint="-0.14990691854609822"/>
      </top>
      <bottom style="thin">
        <color theme="0" tint="-0.1498764000366222"/>
      </bottom>
      <diagonal/>
    </border>
    <border>
      <left/>
      <right style="thin">
        <color theme="0" tint="-0.14996795556505021"/>
      </right>
      <top/>
      <bottom style="thin">
        <color theme="0" tint="-0.34998626667073579"/>
      </bottom>
      <diagonal/>
    </border>
    <border>
      <left/>
      <right style="thin">
        <color theme="0" tint="-0.34998626667073579"/>
      </right>
      <top style="thin">
        <color theme="0" tint="-0.14996795556505021"/>
      </top>
      <bottom style="thin">
        <color rgb="FFA6A6A6"/>
      </bottom>
      <diagonal/>
    </border>
    <border>
      <left/>
      <right/>
      <top style="thin">
        <color rgb="FFA6A6A6"/>
      </top>
      <bottom style="thin">
        <color theme="0" tint="-0.34998626667073579"/>
      </bottom>
      <diagonal/>
    </border>
    <border>
      <left style="thin">
        <color theme="0" tint="-0.14996795556505021"/>
      </left>
      <right/>
      <top/>
      <bottom/>
      <diagonal/>
    </border>
    <border>
      <left/>
      <right/>
      <top style="thin">
        <color theme="0" tint="-0.14993743705557422"/>
      </top>
      <bottom/>
      <diagonal/>
    </border>
    <border>
      <left/>
      <right style="thin">
        <color theme="0" tint="-0.34998626667073579"/>
      </right>
      <top style="thin">
        <color theme="0" tint="-0.14993743705557422"/>
      </top>
      <bottom/>
      <diagonal/>
    </border>
    <border>
      <left/>
      <right/>
      <top/>
      <bottom style="thin">
        <color theme="0" tint="-0.14990691854609822"/>
      </bottom>
      <diagonal/>
    </border>
    <border>
      <left/>
      <right style="thin">
        <color theme="0" tint="-0.34998626667073579"/>
      </right>
      <top/>
      <bottom style="thin">
        <color theme="0" tint="-0.14990691854609822"/>
      </bottom>
      <diagonal/>
    </border>
    <border>
      <left style="thin">
        <color theme="0" tint="-0.14993743705557422"/>
      </left>
      <right/>
      <top style="thin">
        <color theme="0" tint="-0.14996795556505021"/>
      </top>
      <bottom style="thin">
        <color theme="0" tint="-0.14999847407452621"/>
      </bottom>
      <diagonal/>
    </border>
    <border>
      <left/>
      <right style="thin">
        <color theme="0" tint="-0.14993743705557422"/>
      </right>
      <top style="thin">
        <color theme="0" tint="-0.14996795556505021"/>
      </top>
      <bottom style="thin">
        <color theme="0" tint="-0.14999847407452621"/>
      </bottom>
      <diagonal/>
    </border>
    <border>
      <left/>
      <right style="thin">
        <color theme="0" tint="-0.14993743705557422"/>
      </right>
      <top/>
      <bottom style="thin">
        <color theme="0" tint="-0.34998626667073579"/>
      </bottom>
      <diagonal/>
    </border>
    <border>
      <left style="thin">
        <color theme="0" tint="-0.14996795556505021"/>
      </left>
      <right/>
      <top style="thin">
        <color theme="0" tint="-0.14996795556505021"/>
      </top>
      <bottom/>
      <diagonal/>
    </border>
    <border>
      <left/>
      <right style="thin">
        <color theme="0" tint="-0.24994659260841701"/>
      </right>
      <top/>
      <bottom/>
      <diagonal/>
    </border>
    <border>
      <left style="thin">
        <color theme="0" tint="-0.34998626667073579"/>
      </left>
      <right style="thin">
        <color theme="0" tint="-0.34998626667073579"/>
      </right>
      <top style="thin">
        <color theme="0" tint="-0.14996795556505021"/>
      </top>
      <bottom style="thin">
        <color theme="0" tint="-0.14996795556505021"/>
      </bottom>
      <diagonal/>
    </border>
    <border>
      <left style="thin">
        <color theme="0" tint="-0.14993743705557422"/>
      </left>
      <right/>
      <top style="thin">
        <color theme="0" tint="-0.14990691854609822"/>
      </top>
      <bottom style="thin">
        <color theme="0" tint="-0.34998626667073579"/>
      </bottom>
      <diagonal/>
    </border>
  </borders>
  <cellStyleXfs count="7">
    <xf numFmtId="0" fontId="0" fillId="0" borderId="0"/>
    <xf numFmtId="0" fontId="1" fillId="0" borderId="0"/>
    <xf numFmtId="43" fontId="18" fillId="0" borderId="0" applyFont="0" applyFill="0" applyBorder="0" applyAlignment="0" applyProtection="0"/>
    <xf numFmtId="0" fontId="20" fillId="0" borderId="0" applyNumberFormat="0" applyFill="0" applyBorder="0" applyAlignment="0" applyProtection="0"/>
    <xf numFmtId="44" fontId="18"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cellStyleXfs>
  <cellXfs count="389">
    <xf numFmtId="0" fontId="0" fillId="0" borderId="0" xfId="0"/>
    <xf numFmtId="0" fontId="1" fillId="3" borderId="1" xfId="1" applyFill="1" applyBorder="1"/>
    <xf numFmtId="0" fontId="1" fillId="3" borderId="2" xfId="1" applyFill="1" applyBorder="1"/>
    <xf numFmtId="0" fontId="1" fillId="3" borderId="3" xfId="1" applyFill="1" applyBorder="1"/>
    <xf numFmtId="0" fontId="1" fillId="0" borderId="0" xfId="1"/>
    <xf numFmtId="0" fontId="4" fillId="0" borderId="0" xfId="1" applyFont="1"/>
    <xf numFmtId="0" fontId="4" fillId="4" borderId="0" xfId="1" applyFont="1" applyFill="1"/>
    <xf numFmtId="1" fontId="9" fillId="5" borderId="0" xfId="2" applyNumberFormat="1" applyFont="1" applyFill="1" applyBorder="1" applyAlignment="1" applyProtection="1">
      <alignment horizontal="left" vertical="center" wrapText="1" indent="1"/>
    </xf>
    <xf numFmtId="43" fontId="8" fillId="5" borderId="5" xfId="2" applyFont="1" applyFill="1" applyBorder="1" applyAlignment="1" applyProtection="1">
      <alignment horizontal="left" vertical="center" wrapText="1" indent="1"/>
    </xf>
    <xf numFmtId="1" fontId="9" fillId="5" borderId="22" xfId="2" applyNumberFormat="1" applyFont="1" applyFill="1" applyBorder="1" applyAlignment="1" applyProtection="1">
      <alignment horizontal="left" vertical="center" wrapText="1" indent="1"/>
    </xf>
    <xf numFmtId="43" fontId="8" fillId="5" borderId="7" xfId="2" applyFont="1" applyFill="1" applyBorder="1" applyAlignment="1" applyProtection="1">
      <alignment horizontal="left" vertical="center" wrapText="1" indent="1"/>
    </xf>
    <xf numFmtId="1" fontId="9" fillId="5" borderId="10" xfId="2" applyNumberFormat="1" applyFont="1" applyFill="1" applyBorder="1" applyAlignment="1" applyProtection="1">
      <alignment horizontal="left" vertical="center" wrapText="1" indent="1"/>
    </xf>
    <xf numFmtId="43" fontId="8" fillId="5" borderId="11" xfId="2" applyFont="1" applyFill="1" applyBorder="1" applyAlignment="1" applyProtection="1">
      <alignment horizontal="left" vertical="center" wrapText="1" indent="1"/>
    </xf>
    <xf numFmtId="44" fontId="9" fillId="5" borderId="0" xfId="2" applyNumberFormat="1" applyFont="1" applyFill="1" applyBorder="1" applyAlignment="1" applyProtection="1">
      <alignment horizontal="left" vertical="center" wrapText="1" indent="1"/>
    </xf>
    <xf numFmtId="44" fontId="9" fillId="5" borderId="7" xfId="2" applyNumberFormat="1" applyFont="1" applyFill="1" applyBorder="1" applyAlignment="1" applyProtection="1">
      <alignment horizontal="left" vertical="center" wrapText="1" indent="1"/>
    </xf>
    <xf numFmtId="43" fontId="9" fillId="5" borderId="22" xfId="2" applyFont="1" applyFill="1" applyBorder="1" applyAlignment="1" applyProtection="1">
      <alignment horizontal="left" vertical="center" wrapText="1" indent="1"/>
    </xf>
    <xf numFmtId="0" fontId="27" fillId="5" borderId="0" xfId="1" applyFont="1" applyFill="1" applyAlignment="1">
      <alignment horizontal="left" vertical="center" wrapText="1" indent="1"/>
    </xf>
    <xf numFmtId="44" fontId="28" fillId="5" borderId="0" xfId="4" applyFont="1" applyFill="1" applyBorder="1" applyAlignment="1" applyProtection="1">
      <alignment horizontal="left" vertical="center" wrapText="1" indent="1"/>
    </xf>
    <xf numFmtId="0" fontId="28" fillId="5" borderId="0" xfId="1" applyFont="1" applyFill="1" applyAlignment="1">
      <alignment horizontal="left" vertical="center" wrapText="1" indent="1"/>
    </xf>
    <xf numFmtId="1" fontId="28" fillId="5" borderId="0" xfId="1" applyNumberFormat="1" applyFont="1" applyFill="1" applyAlignment="1">
      <alignment horizontal="left" vertical="center" wrapText="1" indent="1"/>
    </xf>
    <xf numFmtId="44" fontId="28" fillId="5" borderId="0" xfId="1" applyNumberFormat="1" applyFont="1" applyFill="1" applyAlignment="1">
      <alignment horizontal="left" vertical="center" wrapText="1" indent="1"/>
    </xf>
    <xf numFmtId="0" fontId="4" fillId="3" borderId="0" xfId="1" applyFont="1" applyFill="1"/>
    <xf numFmtId="0" fontId="4" fillId="0" borderId="33" xfId="1" applyFont="1" applyBorder="1"/>
    <xf numFmtId="43" fontId="8" fillId="5" borderId="24" xfId="2" applyFont="1" applyFill="1" applyBorder="1" applyAlignment="1" applyProtection="1">
      <alignment horizontal="left" vertical="center" wrapText="1" indent="1"/>
    </xf>
    <xf numFmtId="1" fontId="9" fillId="5" borderId="23" xfId="2" applyNumberFormat="1" applyFont="1" applyFill="1" applyBorder="1" applyAlignment="1" applyProtection="1">
      <alignment horizontal="left" vertical="center" wrapText="1" indent="1"/>
    </xf>
    <xf numFmtId="43" fontId="9" fillId="5" borderId="25" xfId="2" applyFont="1" applyFill="1" applyBorder="1" applyAlignment="1" applyProtection="1">
      <alignment horizontal="left" vertical="center" wrapText="1" indent="1"/>
    </xf>
    <xf numFmtId="43" fontId="9" fillId="5" borderId="26" xfId="2" applyFont="1" applyFill="1" applyBorder="1" applyAlignment="1" applyProtection="1">
      <alignment horizontal="left" vertical="center" wrapText="1" indent="1"/>
    </xf>
    <xf numFmtId="43" fontId="9" fillId="5" borderId="7" xfId="2" applyFont="1" applyFill="1" applyBorder="1" applyAlignment="1" applyProtection="1">
      <alignment horizontal="left" vertical="center" wrapText="1" indent="1"/>
    </xf>
    <xf numFmtId="0" fontId="9" fillId="12" borderId="43" xfId="0" applyFont="1" applyFill="1" applyBorder="1" applyAlignment="1" applyProtection="1">
      <alignment horizontal="left" vertical="center" wrapText="1" indent="1"/>
      <protection locked="0"/>
    </xf>
    <xf numFmtId="0" fontId="9" fillId="12" borderId="13" xfId="1" applyFont="1" applyFill="1" applyBorder="1" applyAlignment="1" applyProtection="1">
      <alignment horizontal="left" vertical="center" wrapText="1" indent="1"/>
      <protection locked="0"/>
    </xf>
    <xf numFmtId="0" fontId="9" fillId="12" borderId="15" xfId="1" applyFont="1" applyFill="1" applyBorder="1" applyAlignment="1" applyProtection="1">
      <alignment horizontal="left" vertical="center" wrapText="1" indent="1"/>
      <protection locked="0"/>
    </xf>
    <xf numFmtId="164" fontId="9" fillId="12" borderId="35" xfId="1" applyNumberFormat="1" applyFont="1" applyFill="1" applyBorder="1" applyAlignment="1" applyProtection="1">
      <alignment horizontal="left" vertical="center" wrapText="1" indent="1"/>
      <protection locked="0"/>
    </xf>
    <xf numFmtId="164" fontId="9" fillId="12" borderId="42" xfId="1" applyNumberFormat="1" applyFont="1" applyFill="1" applyBorder="1" applyAlignment="1" applyProtection="1">
      <alignment horizontal="left" vertical="center" wrapText="1" indent="1"/>
      <protection locked="0"/>
    </xf>
    <xf numFmtId="0" fontId="9" fillId="12" borderId="43" xfId="1" applyFont="1" applyFill="1" applyBorder="1" applyAlignment="1" applyProtection="1">
      <alignment horizontal="left" vertical="center" wrapText="1" indent="1"/>
      <protection locked="0"/>
    </xf>
    <xf numFmtId="164" fontId="9" fillId="12" borderId="44" xfId="1" applyNumberFormat="1" applyFont="1" applyFill="1" applyBorder="1" applyAlignment="1" applyProtection="1">
      <alignment horizontal="left" vertical="center" wrapText="1" indent="1"/>
      <protection locked="0"/>
    </xf>
    <xf numFmtId="164" fontId="9" fillId="12" borderId="46" xfId="1" applyNumberFormat="1" applyFont="1" applyFill="1" applyBorder="1" applyAlignment="1" applyProtection="1">
      <alignment horizontal="left" vertical="center" wrapText="1" indent="1"/>
      <protection locked="0"/>
    </xf>
    <xf numFmtId="164" fontId="9" fillId="12" borderId="38" xfId="1" applyNumberFormat="1" applyFont="1" applyFill="1" applyBorder="1" applyAlignment="1" applyProtection="1">
      <alignment horizontal="left" vertical="center" wrapText="1" indent="1"/>
      <protection locked="0"/>
    </xf>
    <xf numFmtId="0" fontId="9" fillId="12" borderId="27" xfId="1" applyFont="1" applyFill="1" applyBorder="1" applyAlignment="1" applyProtection="1">
      <alignment horizontal="left" vertical="center" wrapText="1" indent="1"/>
      <protection locked="0"/>
    </xf>
    <xf numFmtId="44" fontId="9" fillId="12" borderId="16" xfId="1" applyNumberFormat="1" applyFont="1" applyFill="1" applyBorder="1" applyAlignment="1" applyProtection="1">
      <alignment horizontal="left" vertical="center" wrapText="1" indent="1"/>
      <protection locked="0"/>
    </xf>
    <xf numFmtId="164" fontId="9" fillId="12" borderId="45" xfId="1" applyNumberFormat="1" applyFont="1" applyFill="1" applyBorder="1" applyAlignment="1" applyProtection="1">
      <alignment horizontal="left" vertical="center" wrapText="1" indent="1"/>
      <protection locked="0"/>
    </xf>
    <xf numFmtId="168" fontId="9" fillId="12" borderId="55" xfId="1" applyNumberFormat="1" applyFont="1" applyFill="1" applyBorder="1" applyAlignment="1" applyProtection="1">
      <alignment horizontal="left" vertical="center" wrapText="1" indent="1"/>
      <protection locked="0"/>
    </xf>
    <xf numFmtId="0" fontId="9" fillId="12" borderId="81" xfId="0" applyFont="1" applyFill="1" applyBorder="1" applyAlignment="1" applyProtection="1">
      <alignment horizontal="left" vertical="center" wrapText="1" indent="1"/>
      <protection locked="0"/>
    </xf>
    <xf numFmtId="0" fontId="9" fillId="12" borderId="11" xfId="1" applyFont="1" applyFill="1" applyBorder="1" applyAlignment="1" applyProtection="1">
      <alignment horizontal="left" vertical="center" wrapText="1" indent="1"/>
      <protection locked="0"/>
    </xf>
    <xf numFmtId="43" fontId="9" fillId="12" borderId="13" xfId="5" applyFont="1" applyFill="1" applyBorder="1" applyAlignment="1" applyProtection="1">
      <alignment horizontal="left" vertical="center" wrapText="1" indent="1"/>
      <protection locked="0"/>
    </xf>
    <xf numFmtId="43" fontId="9" fillId="12" borderId="16" xfId="5" applyFont="1" applyFill="1" applyBorder="1" applyAlignment="1" applyProtection="1">
      <alignment horizontal="left" vertical="center" wrapText="1" indent="1"/>
      <protection locked="0"/>
    </xf>
    <xf numFmtId="10" fontId="9" fillId="12" borderId="13" xfId="0" applyNumberFormat="1" applyFont="1" applyFill="1" applyBorder="1" applyAlignment="1" applyProtection="1">
      <alignment horizontal="left" vertical="center" wrapText="1" indent="1"/>
      <protection locked="0"/>
    </xf>
    <xf numFmtId="43" fontId="9" fillId="12" borderId="15" xfId="5" applyFont="1" applyFill="1" applyBorder="1" applyAlignment="1" applyProtection="1">
      <alignment horizontal="left" vertical="center" wrapText="1" indent="1"/>
      <protection locked="0"/>
    </xf>
    <xf numFmtId="10" fontId="9" fillId="12" borderId="13" xfId="1" applyNumberFormat="1" applyFont="1" applyFill="1" applyBorder="1" applyAlignment="1" applyProtection="1">
      <alignment horizontal="left" vertical="center" wrapText="1" indent="1"/>
      <protection locked="0"/>
    </xf>
    <xf numFmtId="0" fontId="9" fillId="12" borderId="90" xfId="1" applyFont="1" applyFill="1" applyBorder="1" applyAlignment="1" applyProtection="1">
      <alignment horizontal="left" vertical="center" wrapText="1" indent="1"/>
      <protection locked="0"/>
    </xf>
    <xf numFmtId="0" fontId="9" fillId="12" borderId="16" xfId="1" applyFont="1" applyFill="1" applyBorder="1" applyAlignment="1" applyProtection="1">
      <alignment horizontal="left" vertical="center" wrapText="1" indent="1"/>
      <protection locked="0"/>
    </xf>
    <xf numFmtId="0" fontId="9" fillId="12" borderId="93" xfId="1" applyFont="1" applyFill="1" applyBorder="1" applyAlignment="1" applyProtection="1">
      <alignment horizontal="left" vertical="center" wrapText="1" indent="1"/>
      <protection locked="0"/>
    </xf>
    <xf numFmtId="164" fontId="9" fillId="12" borderId="93" xfId="1" applyNumberFormat="1" applyFont="1" applyFill="1" applyBorder="1" applyAlignment="1" applyProtection="1">
      <alignment horizontal="left" vertical="center" wrapText="1" indent="1"/>
      <protection locked="0"/>
    </xf>
    <xf numFmtId="164" fontId="9" fillId="12" borderId="96" xfId="1" applyNumberFormat="1" applyFont="1" applyFill="1" applyBorder="1" applyAlignment="1" applyProtection="1">
      <alignment horizontal="left" vertical="center" wrapText="1" indent="1"/>
      <protection locked="0"/>
    </xf>
    <xf numFmtId="0" fontId="1" fillId="6" borderId="4" xfId="1" applyFill="1" applyBorder="1"/>
    <xf numFmtId="0" fontId="1" fillId="6" borderId="0" xfId="1" applyFill="1"/>
    <xf numFmtId="0" fontId="32" fillId="6" borderId="5" xfId="1" applyFont="1" applyFill="1" applyBorder="1" applyAlignment="1">
      <alignment vertical="center" wrapText="1"/>
    </xf>
    <xf numFmtId="0" fontId="23" fillId="7" borderId="28" xfId="1" applyFont="1" applyFill="1" applyBorder="1" applyAlignment="1">
      <alignment vertical="center"/>
    </xf>
    <xf numFmtId="0" fontId="23" fillId="7" borderId="29" xfId="1" applyFont="1" applyFill="1" applyBorder="1" applyAlignment="1">
      <alignment vertical="center"/>
    </xf>
    <xf numFmtId="0" fontId="23" fillId="7" borderId="30" xfId="1" quotePrefix="1" applyFont="1" applyFill="1" applyBorder="1" applyAlignment="1">
      <alignment horizontal="left" vertical="center" indent="1"/>
    </xf>
    <xf numFmtId="0" fontId="23" fillId="7" borderId="18" xfId="1" applyFont="1" applyFill="1" applyBorder="1" applyAlignment="1">
      <alignment horizontal="center" vertical="center"/>
    </xf>
    <xf numFmtId="0" fontId="23" fillId="7" borderId="25" xfId="1" applyFont="1" applyFill="1" applyBorder="1" applyAlignment="1">
      <alignment horizontal="center" vertical="center"/>
    </xf>
    <xf numFmtId="0" fontId="23" fillId="7" borderId="26" xfId="1" quotePrefix="1" applyFont="1" applyFill="1" applyBorder="1" applyAlignment="1">
      <alignment horizontal="left" vertical="center" indent="1"/>
    </xf>
    <xf numFmtId="0" fontId="7" fillId="8" borderId="17" xfId="1" applyFont="1" applyFill="1" applyBorder="1" applyAlignment="1">
      <alignment horizontal="left" vertical="center" wrapText="1" indent="1"/>
    </xf>
    <xf numFmtId="0" fontId="7" fillId="8" borderId="23" xfId="1" applyFont="1" applyFill="1" applyBorder="1" applyAlignment="1">
      <alignment horizontal="left" vertical="center" wrapText="1" indent="1"/>
    </xf>
    <xf numFmtId="0" fontId="7" fillId="8" borderId="24" xfId="1" applyFont="1" applyFill="1" applyBorder="1" applyAlignment="1">
      <alignment horizontal="left" vertical="center" indent="1"/>
    </xf>
    <xf numFmtId="0" fontId="34" fillId="0" borderId="10" xfId="0" applyFont="1" applyBorder="1" applyAlignment="1">
      <alignment horizontal="left" vertical="top" wrapText="1" indent="1"/>
    </xf>
    <xf numFmtId="0" fontId="34" fillId="0" borderId="11" xfId="0" applyFont="1" applyBorder="1" applyAlignment="1">
      <alignment horizontal="left" vertical="top" wrapText="1" indent="1"/>
    </xf>
    <xf numFmtId="0" fontId="34" fillId="0" borderId="25" xfId="0" applyFont="1" applyBorder="1" applyAlignment="1">
      <alignment horizontal="left" vertical="top" wrapText="1" indent="1"/>
    </xf>
    <xf numFmtId="0" fontId="34" fillId="0" borderId="26" xfId="0" applyFont="1" applyBorder="1" applyAlignment="1">
      <alignment horizontal="left" vertical="top" wrapText="1" indent="1"/>
    </xf>
    <xf numFmtId="0" fontId="34" fillId="0" borderId="10" xfId="1" applyFont="1" applyBorder="1" applyAlignment="1">
      <alignment horizontal="left" vertical="top" wrapText="1" indent="1"/>
    </xf>
    <xf numFmtId="0" fontId="23" fillId="7" borderId="18" xfId="1" applyFont="1" applyFill="1" applyBorder="1" applyAlignment="1">
      <alignment horizontal="left" vertical="top" indent="1"/>
    </xf>
    <xf numFmtId="0" fontId="23" fillId="7" borderId="25" xfId="1" applyFont="1" applyFill="1" applyBorder="1" applyAlignment="1">
      <alignment horizontal="left" vertical="top" indent="1"/>
    </xf>
    <xf numFmtId="0" fontId="23" fillId="7" borderId="26" xfId="1" quotePrefix="1" applyFont="1" applyFill="1" applyBorder="1" applyAlignment="1">
      <alignment horizontal="left" vertical="top" indent="1"/>
    </xf>
    <xf numFmtId="0" fontId="34" fillId="0" borderId="0" xfId="0" applyFont="1" applyAlignment="1">
      <alignment horizontal="left" vertical="top" wrapText="1" indent="1"/>
    </xf>
    <xf numFmtId="0" fontId="23" fillId="7" borderId="48" xfId="1" applyFont="1" applyFill="1" applyBorder="1" applyAlignment="1">
      <alignment horizontal="left" vertical="top" indent="1"/>
    </xf>
    <xf numFmtId="0" fontId="23" fillId="7" borderId="10" xfId="1" applyFont="1" applyFill="1" applyBorder="1" applyAlignment="1">
      <alignment horizontal="left" vertical="top" indent="1"/>
    </xf>
    <xf numFmtId="0" fontId="23" fillId="7" borderId="11" xfId="1" quotePrefix="1" applyFont="1" applyFill="1" applyBorder="1" applyAlignment="1">
      <alignment horizontal="left" vertical="top" indent="1"/>
    </xf>
    <xf numFmtId="0" fontId="34" fillId="0" borderId="11" xfId="1" applyFont="1" applyBorder="1" applyAlignment="1">
      <alignment horizontal="left" vertical="top" wrapText="1" indent="1"/>
    </xf>
    <xf numFmtId="0" fontId="23" fillId="7" borderId="48" xfId="1" applyFont="1" applyFill="1" applyBorder="1" applyAlignment="1">
      <alignment horizontal="center" vertical="center"/>
    </xf>
    <xf numFmtId="0" fontId="23" fillId="7" borderId="10" xfId="1" applyFont="1" applyFill="1" applyBorder="1" applyAlignment="1">
      <alignment horizontal="center" vertical="center"/>
    </xf>
    <xf numFmtId="0" fontId="23" fillId="7" borderId="11" xfId="1" quotePrefix="1" applyFont="1" applyFill="1" applyBorder="1" applyAlignment="1">
      <alignment horizontal="left" vertical="center" indent="1"/>
    </xf>
    <xf numFmtId="0" fontId="34" fillId="0" borderId="23" xfId="0" applyFont="1" applyBorder="1" applyAlignment="1">
      <alignment horizontal="left" vertical="top" wrapText="1" indent="1"/>
    </xf>
    <xf numFmtId="0" fontId="34" fillId="0" borderId="98" xfId="1" applyFont="1" applyBorder="1" applyAlignment="1">
      <alignment horizontal="left" vertical="top" wrapText="1" indent="1"/>
    </xf>
    <xf numFmtId="0" fontId="23" fillId="10" borderId="99" xfId="1" applyFont="1" applyFill="1" applyBorder="1" applyAlignment="1">
      <alignment horizontal="center" vertical="center"/>
    </xf>
    <xf numFmtId="0" fontId="23" fillId="10" borderId="0" xfId="1" applyFont="1" applyFill="1" applyAlignment="1">
      <alignment horizontal="center" vertical="center"/>
    </xf>
    <xf numFmtId="0" fontId="23" fillId="7" borderId="18" xfId="1" applyFont="1" applyFill="1" applyBorder="1" applyAlignment="1">
      <alignment vertical="center"/>
    </xf>
    <xf numFmtId="0" fontId="23" fillId="7" borderId="25" xfId="1" applyFont="1" applyFill="1" applyBorder="1" applyAlignment="1">
      <alignment vertical="center"/>
    </xf>
    <xf numFmtId="0" fontId="23" fillId="7" borderId="30" xfId="1" applyFont="1" applyFill="1" applyBorder="1" applyAlignment="1">
      <alignment horizontal="left" vertical="top" indent="1"/>
    </xf>
    <xf numFmtId="0" fontId="23" fillId="10" borderId="6" xfId="1" applyFont="1" applyFill="1" applyBorder="1" applyAlignment="1">
      <alignment horizontal="center" vertical="center"/>
    </xf>
    <xf numFmtId="0" fontId="23" fillId="10" borderId="7" xfId="1" applyFont="1" applyFill="1" applyBorder="1" applyAlignment="1">
      <alignment horizontal="center" vertical="center"/>
    </xf>
    <xf numFmtId="0" fontId="23" fillId="10" borderId="8" xfId="1" quotePrefix="1" applyFont="1" applyFill="1" applyBorder="1" applyAlignment="1">
      <alignment horizontal="left" vertical="top" indent="1"/>
    </xf>
    <xf numFmtId="0" fontId="23" fillId="5" borderId="25" xfId="1" applyFont="1" applyFill="1" applyBorder="1" applyAlignment="1">
      <alignment horizontal="center" vertical="center"/>
    </xf>
    <xf numFmtId="0" fontId="23" fillId="5" borderId="7" xfId="1" quotePrefix="1" applyFont="1" applyFill="1" applyBorder="1" applyAlignment="1">
      <alignment horizontal="left" vertical="top" indent="1"/>
    </xf>
    <xf numFmtId="0" fontId="23" fillId="7" borderId="30" xfId="1" quotePrefix="1" applyFont="1" applyFill="1" applyBorder="1" applyAlignment="1">
      <alignment horizontal="left" vertical="top" indent="1"/>
    </xf>
    <xf numFmtId="0" fontId="23" fillId="10" borderId="19" xfId="1" applyFont="1" applyFill="1" applyBorder="1" applyAlignment="1">
      <alignment horizontal="center" vertical="center"/>
    </xf>
    <xf numFmtId="0" fontId="23" fillId="10" borderId="20" xfId="1" quotePrefix="1" applyFont="1" applyFill="1" applyBorder="1" applyAlignment="1">
      <alignment horizontal="left" vertical="top" indent="1"/>
    </xf>
    <xf numFmtId="0" fontId="19" fillId="5" borderId="4" xfId="0" applyFont="1" applyFill="1" applyBorder="1" applyAlignment="1">
      <alignment horizontal="left" vertical="center" wrapText="1" indent="1"/>
    </xf>
    <xf numFmtId="0" fontId="9" fillId="5" borderId="0" xfId="0" applyFont="1" applyFill="1" applyAlignment="1">
      <alignment horizontal="left" vertical="center" wrapText="1" indent="1"/>
    </xf>
    <xf numFmtId="0" fontId="8" fillId="5" borderId="0" xfId="0" applyFont="1" applyFill="1" applyAlignment="1">
      <alignment horizontal="left" vertical="center" wrapText="1" indent="1"/>
    </xf>
    <xf numFmtId="0" fontId="4" fillId="3" borderId="0" xfId="0" applyFont="1" applyFill="1"/>
    <xf numFmtId="0" fontId="4" fillId="0" borderId="33" xfId="0" applyFont="1" applyBorder="1"/>
    <xf numFmtId="0" fontId="43" fillId="6" borderId="0" xfId="0" applyFont="1" applyFill="1"/>
    <xf numFmtId="0" fontId="43" fillId="0" borderId="0" xfId="0" applyFont="1"/>
    <xf numFmtId="0" fontId="58" fillId="7" borderId="22" xfId="0" applyFont="1" applyFill="1" applyBorder="1" applyAlignment="1">
      <alignment vertical="center" wrapText="1"/>
    </xf>
    <xf numFmtId="0" fontId="42" fillId="6" borderId="83" xfId="0" applyFont="1" applyFill="1" applyBorder="1"/>
    <xf numFmtId="0" fontId="42" fillId="5" borderId="0" xfId="0" applyFont="1" applyFill="1"/>
    <xf numFmtId="0" fontId="43" fillId="5" borderId="0" xfId="0" applyFont="1" applyFill="1"/>
    <xf numFmtId="0" fontId="42" fillId="6" borderId="0" xfId="0" applyFont="1" applyFill="1"/>
    <xf numFmtId="0" fontId="43" fillId="5" borderId="82" xfId="0" applyFont="1" applyFill="1" applyBorder="1"/>
    <xf numFmtId="0" fontId="43" fillId="5" borderId="64" xfId="0" applyFont="1" applyFill="1" applyBorder="1"/>
    <xf numFmtId="170" fontId="43" fillId="5" borderId="0" xfId="0" applyNumberFormat="1" applyFont="1" applyFill="1"/>
    <xf numFmtId="10" fontId="43" fillId="5" borderId="0" xfId="0" applyNumberFormat="1" applyFont="1" applyFill="1"/>
    <xf numFmtId="0" fontId="43" fillId="5" borderId="84" xfId="0" applyFont="1" applyFill="1" applyBorder="1"/>
    <xf numFmtId="10" fontId="43" fillId="5" borderId="82" xfId="0" applyNumberFormat="1" applyFont="1" applyFill="1" applyBorder="1"/>
    <xf numFmtId="0" fontId="66" fillId="12" borderId="0" xfId="0" applyFont="1" applyFill="1"/>
    <xf numFmtId="0" fontId="54" fillId="16" borderId="0" xfId="0" applyFont="1" applyFill="1"/>
    <xf numFmtId="0" fontId="64" fillId="13" borderId="0" xfId="0" applyFont="1" applyFill="1"/>
    <xf numFmtId="0" fontId="64" fillId="14" borderId="0" xfId="0" applyFont="1" applyFill="1"/>
    <xf numFmtId="0" fontId="64" fillId="0" borderId="0" xfId="0" applyFont="1"/>
    <xf numFmtId="0" fontId="1" fillId="3" borderId="0" xfId="1" applyFill="1"/>
    <xf numFmtId="0" fontId="45" fillId="0" borderId="0" xfId="0" applyFont="1"/>
    <xf numFmtId="0" fontId="45" fillId="6" borderId="0" xfId="0" applyFont="1" applyFill="1"/>
    <xf numFmtId="0" fontId="12" fillId="7" borderId="22" xfId="0" applyFont="1" applyFill="1" applyBorder="1" applyAlignment="1">
      <alignment vertical="center"/>
    </xf>
    <xf numFmtId="0" fontId="42" fillId="7" borderId="22" xfId="0" applyFont="1" applyFill="1" applyBorder="1" applyAlignment="1">
      <alignment horizontal="centerContinuous"/>
    </xf>
    <xf numFmtId="0" fontId="43" fillId="11" borderId="0" xfId="0" applyFont="1" applyFill="1"/>
    <xf numFmtId="0" fontId="54" fillId="11" borderId="0" xfId="0" applyFont="1" applyFill="1"/>
    <xf numFmtId="168" fontId="54" fillId="11" borderId="0" xfId="0" applyNumberFormat="1" applyFont="1" applyFill="1"/>
    <xf numFmtId="0" fontId="34" fillId="11" borderId="0" xfId="0" applyFont="1" applyFill="1"/>
    <xf numFmtId="0" fontId="43" fillId="5" borderId="0" xfId="0" applyFont="1" applyFill="1" applyAlignment="1">
      <alignment wrapText="1"/>
    </xf>
    <xf numFmtId="0" fontId="43" fillId="7" borderId="64" xfId="0" applyFont="1" applyFill="1" applyBorder="1" applyAlignment="1">
      <alignment wrapText="1"/>
    </xf>
    <xf numFmtId="0" fontId="43" fillId="0" borderId="0" xfId="0" applyFont="1" applyAlignment="1">
      <alignment wrapText="1"/>
    </xf>
    <xf numFmtId="0" fontId="54" fillId="11" borderId="64" xfId="0" applyFont="1" applyFill="1" applyBorder="1"/>
    <xf numFmtId="10" fontId="54" fillId="11" borderId="64" xfId="0" applyNumberFormat="1" applyFont="1" applyFill="1" applyBorder="1"/>
    <xf numFmtId="168" fontId="54" fillId="11" borderId="64" xfId="0" applyNumberFormat="1" applyFont="1" applyFill="1" applyBorder="1"/>
    <xf numFmtId="0" fontId="56" fillId="11" borderId="64" xfId="0" applyFont="1" applyFill="1" applyBorder="1"/>
    <xf numFmtId="10" fontId="56" fillId="11" borderId="64" xfId="0" applyNumberFormat="1" applyFont="1" applyFill="1" applyBorder="1"/>
    <xf numFmtId="168" fontId="56" fillId="11" borderId="64" xfId="0" applyNumberFormat="1" applyFont="1" applyFill="1" applyBorder="1"/>
    <xf numFmtId="44" fontId="28" fillId="5" borderId="0" xfId="4" applyFont="1" applyFill="1" applyAlignment="1" applyProtection="1">
      <alignment horizontal="left" vertical="center" wrapText="1" indent="1"/>
    </xf>
    <xf numFmtId="0" fontId="42" fillId="7" borderId="22" xfId="0" applyFont="1" applyFill="1" applyBorder="1"/>
    <xf numFmtId="0" fontId="0" fillId="5" borderId="0" xfId="0" applyFill="1"/>
    <xf numFmtId="0" fontId="48" fillId="7" borderId="0" xfId="0" applyFont="1" applyFill="1"/>
    <xf numFmtId="0" fontId="48" fillId="7" borderId="68" xfId="0" applyFont="1" applyFill="1" applyBorder="1"/>
    <xf numFmtId="0" fontId="48" fillId="7" borderId="69" xfId="0" applyFont="1" applyFill="1" applyBorder="1"/>
    <xf numFmtId="0" fontId="48" fillId="7" borderId="70" xfId="0" applyFont="1" applyFill="1" applyBorder="1"/>
    <xf numFmtId="0" fontId="43" fillId="11" borderId="71" xfId="0" applyFont="1" applyFill="1" applyBorder="1"/>
    <xf numFmtId="164" fontId="54" fillId="11" borderId="56" xfId="0" applyNumberFormat="1" applyFont="1" applyFill="1" applyBorder="1"/>
    <xf numFmtId="164" fontId="54" fillId="11" borderId="72" xfId="0" applyNumberFormat="1" applyFont="1" applyFill="1" applyBorder="1"/>
    <xf numFmtId="166" fontId="54" fillId="11" borderId="56" xfId="0" applyNumberFormat="1" applyFont="1" applyFill="1" applyBorder="1"/>
    <xf numFmtId="166" fontId="54" fillId="11" borderId="72" xfId="0" applyNumberFormat="1" applyFont="1" applyFill="1" applyBorder="1"/>
    <xf numFmtId="168" fontId="54" fillId="11" borderId="56" xfId="6" applyNumberFormat="1" applyFont="1" applyFill="1" applyBorder="1" applyProtection="1"/>
    <xf numFmtId="168" fontId="54" fillId="11" borderId="72" xfId="6" applyNumberFormat="1" applyFont="1" applyFill="1" applyBorder="1" applyProtection="1"/>
    <xf numFmtId="0" fontId="43" fillId="11" borderId="73" xfId="0" applyFont="1" applyFill="1" applyBorder="1"/>
    <xf numFmtId="166" fontId="54" fillId="11" borderId="74" xfId="0" applyNumberFormat="1" applyFont="1" applyFill="1" applyBorder="1"/>
    <xf numFmtId="166" fontId="54" fillId="11" borderId="75" xfId="0" applyNumberFormat="1" applyFont="1" applyFill="1" applyBorder="1"/>
    <xf numFmtId="0" fontId="49" fillId="7" borderId="65" xfId="0" applyFont="1" applyFill="1" applyBorder="1"/>
    <xf numFmtId="0" fontId="50" fillId="7" borderId="66" xfId="0" applyFont="1" applyFill="1" applyBorder="1"/>
    <xf numFmtId="0" fontId="51" fillId="7" borderId="66" xfId="0" applyFont="1" applyFill="1" applyBorder="1"/>
    <xf numFmtId="0" fontId="51" fillId="7" borderId="67" xfId="0" applyFont="1" applyFill="1" applyBorder="1"/>
    <xf numFmtId="0" fontId="53" fillId="11" borderId="63" xfId="0" applyFont="1" applyFill="1" applyBorder="1"/>
    <xf numFmtId="0" fontId="52" fillId="0" borderId="0" xfId="0" applyFont="1"/>
    <xf numFmtId="0" fontId="45" fillId="11" borderId="63" xfId="0" applyFont="1" applyFill="1" applyBorder="1"/>
    <xf numFmtId="2" fontId="54" fillId="11" borderId="63" xfId="0" applyNumberFormat="1" applyFont="1" applyFill="1" applyBorder="1"/>
    <xf numFmtId="2" fontId="55" fillId="11" borderId="63" xfId="0" applyNumberFormat="1" applyFont="1" applyFill="1" applyBorder="1"/>
    <xf numFmtId="0" fontId="58" fillId="7" borderId="22" xfId="0" applyFont="1" applyFill="1" applyBorder="1" applyAlignment="1">
      <alignment horizontal="centerContinuous" vertical="center" wrapText="1"/>
    </xf>
    <xf numFmtId="0" fontId="17" fillId="10" borderId="0" xfId="0" applyFont="1" applyFill="1" applyAlignment="1">
      <alignment horizontal="centerContinuous" vertical="center"/>
    </xf>
    <xf numFmtId="0" fontId="46" fillId="5" borderId="0" xfId="0" applyFont="1" applyFill="1" applyAlignment="1">
      <alignment horizontal="centerContinuous"/>
    </xf>
    <xf numFmtId="0" fontId="45" fillId="5" borderId="0" xfId="0" applyFont="1" applyFill="1" applyAlignment="1">
      <alignment horizontal="centerContinuous"/>
    </xf>
    <xf numFmtId="0" fontId="45" fillId="5" borderId="0" xfId="0" applyFont="1" applyFill="1"/>
    <xf numFmtId="0" fontId="45" fillId="2" borderId="57" xfId="0" applyFont="1" applyFill="1" applyBorder="1" applyAlignment="1">
      <alignment vertical="center"/>
    </xf>
    <xf numFmtId="0" fontId="56" fillId="11" borderId="57" xfId="0" applyFont="1" applyFill="1" applyBorder="1" applyAlignment="1">
      <alignment vertical="center"/>
    </xf>
    <xf numFmtId="0" fontId="42" fillId="0" borderId="0" xfId="0" applyFont="1" applyAlignment="1">
      <alignment vertical="center"/>
    </xf>
    <xf numFmtId="0" fontId="53" fillId="2" borderId="57" xfId="0" applyFont="1" applyFill="1" applyBorder="1" applyAlignment="1">
      <alignment vertical="center"/>
    </xf>
    <xf numFmtId="0" fontId="53" fillId="11" borderId="57" xfId="0" applyFont="1" applyFill="1" applyBorder="1" applyAlignment="1">
      <alignment vertical="center"/>
    </xf>
    <xf numFmtId="0" fontId="53" fillId="0" borderId="0" xfId="0" applyFont="1" applyAlignment="1">
      <alignment vertical="center"/>
    </xf>
    <xf numFmtId="0" fontId="57" fillId="6" borderId="0" xfId="0" applyFont="1" applyFill="1"/>
    <xf numFmtId="0" fontId="42" fillId="6" borderId="0" xfId="0" applyFont="1" applyFill="1" applyAlignment="1">
      <alignment horizontal="centerContinuous"/>
    </xf>
    <xf numFmtId="165" fontId="54" fillId="11" borderId="58" xfId="0" applyNumberFormat="1" applyFont="1" applyFill="1" applyBorder="1" applyAlignment="1">
      <alignment vertical="center"/>
    </xf>
    <xf numFmtId="165" fontId="54" fillId="11" borderId="57" xfId="0" applyNumberFormat="1" applyFont="1" applyFill="1" applyBorder="1" applyAlignment="1">
      <alignment vertical="center"/>
    </xf>
    <xf numFmtId="0" fontId="45" fillId="0" borderId="0" xfId="0" applyFont="1" applyAlignment="1">
      <alignment vertical="center"/>
    </xf>
    <xf numFmtId="168" fontId="54" fillId="11" borderId="58" xfId="6" applyNumberFormat="1" applyFont="1" applyFill="1" applyBorder="1" applyAlignment="1" applyProtection="1">
      <alignment vertical="center"/>
    </xf>
    <xf numFmtId="168" fontId="54" fillId="11" borderId="57" xfId="6" applyNumberFormat="1" applyFont="1" applyFill="1" applyBorder="1" applyAlignment="1" applyProtection="1">
      <alignment vertical="center"/>
    </xf>
    <xf numFmtId="165" fontId="45" fillId="5" borderId="0" xfId="0" applyNumberFormat="1" applyFont="1" applyFill="1"/>
    <xf numFmtId="0" fontId="45" fillId="11" borderId="57" xfId="0" applyFont="1" applyFill="1" applyBorder="1" applyAlignment="1">
      <alignment vertical="center"/>
    </xf>
    <xf numFmtId="0" fontId="45" fillId="11" borderId="59" xfId="0" applyFont="1" applyFill="1" applyBorder="1" applyAlignment="1">
      <alignment vertical="center"/>
    </xf>
    <xf numFmtId="168" fontId="54" fillId="11" borderId="59" xfId="6" applyNumberFormat="1" applyFont="1" applyFill="1" applyBorder="1" applyAlignment="1" applyProtection="1">
      <alignment vertical="center"/>
    </xf>
    <xf numFmtId="0" fontId="45" fillId="2" borderId="60" xfId="0" applyFont="1" applyFill="1" applyBorder="1" applyAlignment="1">
      <alignment vertical="center"/>
    </xf>
    <xf numFmtId="168" fontId="54" fillId="10" borderId="60" xfId="6" applyNumberFormat="1" applyFont="1" applyFill="1" applyBorder="1" applyAlignment="1" applyProtection="1">
      <alignment vertical="center"/>
    </xf>
    <xf numFmtId="168" fontId="54" fillId="10" borderId="57" xfId="6" applyNumberFormat="1" applyFont="1" applyFill="1" applyBorder="1" applyAlignment="1" applyProtection="1">
      <alignment vertical="center"/>
    </xf>
    <xf numFmtId="168" fontId="45" fillId="2" borderId="57" xfId="6" applyNumberFormat="1" applyFont="1" applyFill="1" applyBorder="1" applyAlignment="1" applyProtection="1">
      <alignment vertical="center"/>
    </xf>
    <xf numFmtId="168" fontId="45" fillId="2" borderId="59" xfId="6" applyNumberFormat="1" applyFont="1" applyFill="1" applyBorder="1" applyAlignment="1" applyProtection="1">
      <alignment vertical="center"/>
    </xf>
    <xf numFmtId="168" fontId="54" fillId="10" borderId="59" xfId="6" applyNumberFormat="1" applyFont="1" applyFill="1" applyBorder="1" applyAlignment="1" applyProtection="1">
      <alignment vertical="center"/>
    </xf>
    <xf numFmtId="0" fontId="45" fillId="11" borderId="60" xfId="0" applyFont="1" applyFill="1" applyBorder="1" applyAlignment="1">
      <alignment vertical="center"/>
    </xf>
    <xf numFmtId="166" fontId="54" fillId="11" borderId="60" xfId="0" applyNumberFormat="1" applyFont="1" applyFill="1" applyBorder="1" applyAlignment="1">
      <alignment vertical="center"/>
    </xf>
    <xf numFmtId="0" fontId="45" fillId="11" borderId="62" xfId="0" applyFont="1" applyFill="1" applyBorder="1" applyAlignment="1">
      <alignment vertical="center"/>
    </xf>
    <xf numFmtId="166" fontId="54" fillId="11" borderId="62" xfId="0" applyNumberFormat="1" applyFont="1" applyFill="1" applyBorder="1" applyAlignment="1">
      <alignment vertical="center"/>
    </xf>
    <xf numFmtId="0" fontId="45" fillId="11" borderId="61" xfId="0" applyFont="1" applyFill="1" applyBorder="1" applyAlignment="1">
      <alignment vertical="center"/>
    </xf>
    <xf numFmtId="168" fontId="54" fillId="11" borderId="61" xfId="6" applyNumberFormat="1" applyFont="1" applyFill="1" applyBorder="1" applyAlignment="1" applyProtection="1">
      <alignment vertical="center"/>
    </xf>
    <xf numFmtId="0" fontId="36" fillId="0" borderId="0" xfId="1" applyFont="1"/>
    <xf numFmtId="0" fontId="2" fillId="6" borderId="4" xfId="1" applyFont="1" applyFill="1" applyBorder="1" applyAlignment="1">
      <alignment wrapText="1"/>
    </xf>
    <xf numFmtId="0" fontId="2" fillId="6" borderId="0" xfId="1" applyFont="1" applyFill="1" applyAlignment="1">
      <alignment wrapText="1"/>
    </xf>
    <xf numFmtId="0" fontId="3" fillId="6" borderId="5" xfId="1" applyFont="1" applyFill="1" applyBorder="1" applyAlignment="1">
      <alignment wrapText="1"/>
    </xf>
    <xf numFmtId="0" fontId="39" fillId="0" borderId="0" xfId="1" applyFont="1"/>
    <xf numFmtId="0" fontId="31" fillId="4" borderId="0" xfId="1" applyFont="1" applyFill="1"/>
    <xf numFmtId="0" fontId="22" fillId="6" borderId="1" xfId="1" applyFont="1" applyFill="1" applyBorder="1" applyAlignment="1">
      <alignment horizontal="centerContinuous" vertical="center" wrapText="1"/>
    </xf>
    <xf numFmtId="0" fontId="23" fillId="6" borderId="2" xfId="1" applyFont="1" applyFill="1" applyBorder="1" applyAlignment="1">
      <alignment horizontal="centerContinuous" vertical="center" wrapText="1"/>
    </xf>
    <xf numFmtId="0" fontId="21" fillId="6" borderId="2" xfId="1" applyFont="1" applyFill="1" applyBorder="1" applyAlignment="1">
      <alignment horizontal="centerContinuous" vertical="center" wrapText="1"/>
    </xf>
    <xf numFmtId="0" fontId="23" fillId="6" borderId="3" xfId="1" applyFont="1" applyFill="1" applyBorder="1" applyAlignment="1">
      <alignment horizontal="centerContinuous" vertical="center" wrapText="1"/>
    </xf>
    <xf numFmtId="0" fontId="31" fillId="0" borderId="0" xfId="1" applyFont="1"/>
    <xf numFmtId="0" fontId="11" fillId="7" borderId="1" xfId="1" applyFont="1" applyFill="1" applyBorder="1" applyAlignment="1">
      <alignment horizontal="centerContinuous"/>
    </xf>
    <xf numFmtId="0" fontId="12" fillId="7" borderId="2" xfId="1" applyFont="1" applyFill="1" applyBorder="1" applyAlignment="1">
      <alignment horizontal="centerContinuous"/>
    </xf>
    <xf numFmtId="0" fontId="13" fillId="7" borderId="3" xfId="1" applyFont="1" applyFill="1" applyBorder="1" applyAlignment="1">
      <alignment horizontal="centerContinuous"/>
    </xf>
    <xf numFmtId="0" fontId="14" fillId="7" borderId="4" xfId="1" applyFont="1" applyFill="1" applyBorder="1" applyAlignment="1">
      <alignment horizontal="centerContinuous" vertical="center"/>
    </xf>
    <xf numFmtId="0" fontId="15" fillId="7" borderId="0" xfId="1" applyFont="1" applyFill="1" applyAlignment="1">
      <alignment horizontal="centerContinuous" vertical="center"/>
    </xf>
    <xf numFmtId="0" fontId="16" fillId="7" borderId="5" xfId="1" applyFont="1" applyFill="1" applyBorder="1" applyAlignment="1">
      <alignment horizontal="centerContinuous" vertical="center"/>
    </xf>
    <xf numFmtId="0" fontId="8" fillId="5" borderId="0" xfId="1" applyFont="1" applyFill="1" applyAlignment="1">
      <alignment horizontal="left" vertical="center" wrapText="1" indent="1"/>
    </xf>
    <xf numFmtId="0" fontId="9" fillId="5" borderId="0" xfId="1" applyFont="1" applyFill="1" applyAlignment="1">
      <alignment horizontal="left" vertical="center" wrapText="1" indent="1"/>
    </xf>
    <xf numFmtId="0" fontId="10" fillId="5" borderId="5" xfId="1" applyFont="1" applyFill="1" applyBorder="1" applyAlignment="1">
      <alignment horizontal="left" vertical="center" wrapText="1" indent="1"/>
    </xf>
    <xf numFmtId="0" fontId="17" fillId="0" borderId="54" xfId="0" applyFont="1" applyBorder="1" applyAlignment="1">
      <alignment horizontal="left" vertical="center" wrapText="1" indent="1"/>
    </xf>
    <xf numFmtId="0" fontId="17" fillId="0" borderId="80" xfId="0" applyFont="1" applyBorder="1" applyAlignment="1">
      <alignment horizontal="left" vertical="center" wrapText="1" indent="1"/>
    </xf>
    <xf numFmtId="0" fontId="17" fillId="0" borderId="10" xfId="1" applyFont="1" applyBorder="1" applyAlignment="1">
      <alignment horizontal="left" vertical="center" wrapText="1" indent="1"/>
    </xf>
    <xf numFmtId="0" fontId="8" fillId="5" borderId="77" xfId="1" applyFont="1" applyFill="1" applyBorder="1" applyAlignment="1">
      <alignment horizontal="left" vertical="center" wrapText="1" indent="1"/>
    </xf>
    <xf numFmtId="0" fontId="9" fillId="5" borderId="77" xfId="1" applyFont="1" applyFill="1" applyBorder="1" applyAlignment="1">
      <alignment horizontal="left" vertical="center" wrapText="1" indent="1"/>
    </xf>
    <xf numFmtId="0" fontId="8" fillId="5" borderId="101" xfId="1" applyFont="1" applyFill="1" applyBorder="1" applyAlignment="1">
      <alignment horizontal="left" vertical="center" wrapText="1" indent="1"/>
    </xf>
    <xf numFmtId="0" fontId="9" fillId="5" borderId="101" xfId="1" applyFont="1" applyFill="1" applyBorder="1" applyAlignment="1">
      <alignment horizontal="left" vertical="center" wrapText="1" indent="1"/>
    </xf>
    <xf numFmtId="0" fontId="10" fillId="5" borderId="102" xfId="1" applyFont="1" applyFill="1" applyBorder="1" applyAlignment="1">
      <alignment horizontal="left" vertical="center" wrapText="1" indent="1"/>
    </xf>
    <xf numFmtId="0" fontId="17" fillId="5" borderId="100" xfId="0" applyFont="1" applyFill="1" applyBorder="1" applyAlignment="1">
      <alignment horizontal="left" vertical="center" wrapText="1" indent="1"/>
    </xf>
    <xf numFmtId="0" fontId="17" fillId="5" borderId="0" xfId="0" applyFont="1" applyFill="1" applyAlignment="1">
      <alignment horizontal="left" vertical="center" wrapText="1" indent="1"/>
    </xf>
    <xf numFmtId="0" fontId="17" fillId="5" borderId="0" xfId="1" applyFont="1" applyFill="1" applyAlignment="1">
      <alignment horizontal="left" vertical="center" wrapText="1" indent="1"/>
    </xf>
    <xf numFmtId="0" fontId="9" fillId="5" borderId="5" xfId="1" applyFont="1" applyFill="1" applyBorder="1" applyAlignment="1">
      <alignment horizontal="left" vertical="center" wrapText="1" indent="1"/>
    </xf>
    <xf numFmtId="0" fontId="8" fillId="5" borderId="103" xfId="1" applyFont="1" applyFill="1" applyBorder="1" applyAlignment="1">
      <alignment horizontal="left" vertical="center" wrapText="1" indent="1"/>
    </xf>
    <xf numFmtId="0" fontId="9" fillId="5" borderId="103" xfId="1" applyFont="1" applyFill="1" applyBorder="1" applyAlignment="1">
      <alignment horizontal="left" vertical="center" wrapText="1" indent="1"/>
    </xf>
    <xf numFmtId="0" fontId="10" fillId="5" borderId="104" xfId="1" applyFont="1" applyFill="1" applyBorder="1" applyAlignment="1">
      <alignment horizontal="left" vertical="center" wrapText="1" indent="1"/>
    </xf>
    <xf numFmtId="0" fontId="11" fillId="7" borderId="4" xfId="1" applyFont="1" applyFill="1" applyBorder="1" applyAlignment="1">
      <alignment horizontal="centerContinuous"/>
    </xf>
    <xf numFmtId="0" fontId="12" fillId="7" borderId="0" xfId="1" applyFont="1" applyFill="1" applyAlignment="1">
      <alignment horizontal="centerContinuous"/>
    </xf>
    <xf numFmtId="0" fontId="13" fillId="7" borderId="5" xfId="1" applyFont="1" applyFill="1" applyBorder="1" applyAlignment="1">
      <alignment horizontal="centerContinuous"/>
    </xf>
    <xf numFmtId="0" fontId="4" fillId="0" borderId="0" xfId="1" applyFont="1" applyAlignment="1">
      <alignment horizontal="center" vertical="center"/>
    </xf>
    <xf numFmtId="0" fontId="10" fillId="5" borderId="76" xfId="1" applyFont="1" applyFill="1" applyBorder="1" applyAlignment="1">
      <alignment horizontal="left" vertical="center" wrapText="1" indent="1"/>
    </xf>
    <xf numFmtId="0" fontId="14" fillId="7" borderId="85" xfId="1" applyFont="1" applyFill="1" applyBorder="1" applyAlignment="1">
      <alignment horizontal="centerContinuous" vertical="center"/>
    </xf>
    <xf numFmtId="0" fontId="8" fillId="5" borderId="9" xfId="1" applyFont="1" applyFill="1" applyBorder="1" applyAlignment="1">
      <alignment horizontal="left" vertical="center" wrapText="1" indent="1"/>
    </xf>
    <xf numFmtId="0" fontId="9" fillId="5" borderId="10" xfId="1" applyFont="1" applyFill="1" applyBorder="1" applyAlignment="1">
      <alignment horizontal="left" vertical="center" wrapText="1" indent="1"/>
    </xf>
    <xf numFmtId="0" fontId="8" fillId="5" borderId="10" xfId="1" applyFont="1" applyFill="1" applyBorder="1" applyAlignment="1">
      <alignment horizontal="left" vertical="center" wrapText="1" indent="1"/>
    </xf>
    <xf numFmtId="0" fontId="8" fillId="5" borderId="23" xfId="1" applyFont="1" applyFill="1" applyBorder="1" applyAlignment="1">
      <alignment horizontal="left" vertical="center" wrapText="1" indent="1"/>
    </xf>
    <xf numFmtId="0" fontId="9" fillId="5" borderId="23" xfId="1" applyFont="1" applyFill="1" applyBorder="1" applyAlignment="1">
      <alignment horizontal="left" vertical="center" wrapText="1" indent="1"/>
    </xf>
    <xf numFmtId="0" fontId="9" fillId="5" borderId="24" xfId="1" applyFont="1" applyFill="1" applyBorder="1" applyAlignment="1">
      <alignment horizontal="left" vertical="center" wrapText="1" indent="1"/>
    </xf>
    <xf numFmtId="0" fontId="17" fillId="0" borderId="12" xfId="1" applyFont="1" applyBorder="1" applyAlignment="1">
      <alignment horizontal="left" vertical="center" wrapText="1" indent="1"/>
    </xf>
    <xf numFmtId="0" fontId="17" fillId="0" borderId="14" xfId="1" applyFont="1" applyBorder="1" applyAlignment="1">
      <alignment horizontal="left" vertical="center" wrapText="1" indent="1"/>
    </xf>
    <xf numFmtId="0" fontId="8" fillId="5" borderId="25" xfId="1" applyFont="1" applyFill="1" applyBorder="1" applyAlignment="1">
      <alignment horizontal="left" vertical="center" wrapText="1" indent="1"/>
    </xf>
    <xf numFmtId="0" fontId="9" fillId="5" borderId="25" xfId="1" applyFont="1" applyFill="1" applyBorder="1" applyAlignment="1">
      <alignment horizontal="left" vertical="center" wrapText="1" indent="1"/>
    </xf>
    <xf numFmtId="0" fontId="9" fillId="5" borderId="26" xfId="1" applyFont="1" applyFill="1" applyBorder="1" applyAlignment="1">
      <alignment horizontal="left" vertical="center" wrapText="1" indent="1"/>
    </xf>
    <xf numFmtId="0" fontId="40" fillId="11" borderId="47" xfId="1" applyFont="1" applyFill="1" applyBorder="1" applyAlignment="1">
      <alignment horizontal="left" vertical="center" wrapText="1" indent="1"/>
    </xf>
    <xf numFmtId="169" fontId="40" fillId="11" borderId="11" xfId="1" applyNumberFormat="1" applyFont="1" applyFill="1" applyBorder="1" applyAlignment="1">
      <alignment horizontal="left" vertical="center" wrapText="1" indent="1"/>
    </xf>
    <xf numFmtId="0" fontId="9" fillId="5" borderId="11" xfId="1" applyFont="1" applyFill="1" applyBorder="1" applyAlignment="1">
      <alignment horizontal="left" vertical="center" wrapText="1" indent="1"/>
    </xf>
    <xf numFmtId="0" fontId="14" fillId="7" borderId="9" xfId="1" applyFont="1" applyFill="1" applyBorder="1" applyAlignment="1">
      <alignment horizontal="centerContinuous" vertical="center"/>
    </xf>
    <xf numFmtId="0" fontId="14" fillId="7" borderId="48" xfId="1" applyFont="1" applyFill="1" applyBorder="1" applyAlignment="1">
      <alignment horizontal="centerContinuous" vertical="center"/>
    </xf>
    <xf numFmtId="0" fontId="17" fillId="15" borderId="108" xfId="0" applyFont="1" applyFill="1" applyBorder="1" applyAlignment="1">
      <alignment horizontal="left" vertical="center" wrapText="1" indent="1"/>
    </xf>
    <xf numFmtId="0" fontId="14" fillId="11" borderId="24" xfId="1" applyFont="1" applyFill="1" applyBorder="1" applyAlignment="1">
      <alignment horizontal="centerContinuous" vertical="center"/>
    </xf>
    <xf numFmtId="0" fontId="8" fillId="5" borderId="4" xfId="1" applyFont="1" applyFill="1" applyBorder="1" applyAlignment="1">
      <alignment horizontal="left" vertical="center" wrapText="1" indent="1"/>
    </xf>
    <xf numFmtId="0" fontId="9" fillId="5" borderId="51" xfId="1" applyFont="1" applyFill="1" applyBorder="1" applyAlignment="1">
      <alignment horizontal="left" vertical="center" wrapText="1" indent="1"/>
    </xf>
    <xf numFmtId="0" fontId="17" fillId="15" borderId="0" xfId="0" applyFont="1" applyFill="1" applyAlignment="1">
      <alignment horizontal="left" vertical="center" wrapText="1" indent="1"/>
    </xf>
    <xf numFmtId="0" fontId="9" fillId="11" borderId="5" xfId="1" applyFont="1" applyFill="1" applyBorder="1" applyAlignment="1">
      <alignment horizontal="left" vertical="center" wrapText="1" indent="1"/>
    </xf>
    <xf numFmtId="0" fontId="17" fillId="0" borderId="14" xfId="0" applyFont="1" applyBorder="1" applyAlignment="1">
      <alignment horizontal="left" vertical="center" wrapText="1" indent="1"/>
    </xf>
    <xf numFmtId="0" fontId="17" fillId="15" borderId="87" xfId="0" applyFont="1" applyFill="1" applyBorder="1" applyAlignment="1">
      <alignment horizontal="left" vertical="center" wrapText="1" indent="1"/>
    </xf>
    <xf numFmtId="43" fontId="40" fillId="11" borderId="88" xfId="5" applyFont="1" applyFill="1" applyBorder="1" applyAlignment="1" applyProtection="1">
      <alignment horizontal="left" vertical="center" wrapText="1" indent="1"/>
    </xf>
    <xf numFmtId="0" fontId="17" fillId="0" borderId="54" xfId="1" applyFont="1" applyBorder="1" applyAlignment="1">
      <alignment horizontal="left" vertical="center" wrapText="1" indent="1"/>
    </xf>
    <xf numFmtId="0" fontId="4" fillId="5" borderId="0" xfId="1" applyFont="1" applyFill="1"/>
    <xf numFmtId="0" fontId="4" fillId="5" borderId="109" xfId="1" applyFont="1" applyFill="1" applyBorder="1"/>
    <xf numFmtId="10" fontId="4" fillId="0" borderId="0" xfId="1" applyNumberFormat="1" applyFont="1"/>
    <xf numFmtId="0" fontId="9" fillId="11" borderId="13" xfId="5" applyNumberFormat="1" applyFont="1" applyFill="1" applyBorder="1" applyAlignment="1" applyProtection="1">
      <alignment horizontal="left" vertical="center" wrapText="1" indent="1"/>
    </xf>
    <xf numFmtId="10" fontId="9" fillId="11" borderId="13" xfId="5" applyNumberFormat="1" applyFont="1" applyFill="1" applyBorder="1" applyAlignment="1" applyProtection="1">
      <alignment horizontal="left" vertical="center" wrapText="1" indent="1"/>
    </xf>
    <xf numFmtId="43" fontId="40" fillId="11" borderId="86" xfId="5" applyFont="1" applyFill="1" applyBorder="1" applyAlignment="1" applyProtection="1">
      <alignment horizontal="left" vertical="center" wrapText="1" indent="1"/>
    </xf>
    <xf numFmtId="0" fontId="14" fillId="7" borderId="110" xfId="1" applyFont="1" applyFill="1" applyBorder="1" applyAlignment="1">
      <alignment horizontal="centerContinuous" vertical="center"/>
    </xf>
    <xf numFmtId="0" fontId="14" fillId="5" borderId="6" xfId="1" applyFont="1" applyFill="1" applyBorder="1" applyAlignment="1">
      <alignment horizontal="centerContinuous" vertical="center"/>
    </xf>
    <xf numFmtId="0" fontId="14" fillId="5" borderId="7" xfId="1" applyFont="1" applyFill="1" applyBorder="1" applyAlignment="1">
      <alignment horizontal="centerContinuous" vertical="center"/>
    </xf>
    <xf numFmtId="0" fontId="14" fillId="5" borderId="107" xfId="1" applyFont="1" applyFill="1" applyBorder="1" applyAlignment="1">
      <alignment horizontal="centerContinuous" vertical="center"/>
    </xf>
    <xf numFmtId="0" fontId="17" fillId="15" borderId="111" xfId="0" applyFont="1" applyFill="1" applyBorder="1" applyAlignment="1">
      <alignment horizontal="left" vertical="center" wrapText="1" indent="1"/>
    </xf>
    <xf numFmtId="43" fontId="40" fillId="11" borderId="50" xfId="5" applyFont="1" applyFill="1" applyBorder="1" applyAlignment="1" applyProtection="1">
      <alignment vertical="center" wrapText="1"/>
    </xf>
    <xf numFmtId="0" fontId="19" fillId="5" borderId="21" xfId="1" applyFont="1" applyFill="1" applyBorder="1" applyAlignment="1">
      <alignment horizontal="left" vertical="center" wrapText="1" indent="1"/>
    </xf>
    <xf numFmtId="0" fontId="9" fillId="5" borderId="22" xfId="1" applyFont="1" applyFill="1" applyBorder="1" applyAlignment="1">
      <alignment horizontal="left" vertical="center" wrapText="1" indent="1"/>
    </xf>
    <xf numFmtId="0" fontId="8" fillId="5" borderId="22" xfId="1" applyFont="1" applyFill="1" applyBorder="1" applyAlignment="1">
      <alignment horizontal="left" vertical="center" wrapText="1" indent="1"/>
    </xf>
    <xf numFmtId="0" fontId="11" fillId="7" borderId="17" xfId="1" applyFont="1" applyFill="1" applyBorder="1" applyAlignment="1">
      <alignment horizontal="centerContinuous"/>
    </xf>
    <xf numFmtId="0" fontId="24" fillId="7" borderId="23" xfId="1" applyFont="1" applyFill="1" applyBorder="1" applyAlignment="1">
      <alignment horizontal="centerContinuous" vertical="center"/>
    </xf>
    <xf numFmtId="0" fontId="24" fillId="7" borderId="23" xfId="1" applyFont="1" applyFill="1" applyBorder="1" applyAlignment="1">
      <alignment horizontal="centerContinuous"/>
    </xf>
    <xf numFmtId="0" fontId="24" fillId="7" borderId="24" xfId="1" applyFont="1" applyFill="1" applyBorder="1" applyAlignment="1">
      <alignment horizontal="centerContinuous" vertical="center"/>
    </xf>
    <xf numFmtId="0" fontId="14" fillId="7" borderId="18" xfId="1" applyFont="1" applyFill="1" applyBorder="1" applyAlignment="1">
      <alignment horizontal="centerContinuous" vertical="center" wrapText="1"/>
    </xf>
    <xf numFmtId="0" fontId="16" fillId="7" borderId="25" xfId="1" applyFont="1" applyFill="1" applyBorder="1" applyAlignment="1">
      <alignment horizontal="centerContinuous" vertical="center"/>
    </xf>
    <xf numFmtId="0" fontId="16" fillId="7" borderId="26" xfId="1" applyFont="1" applyFill="1" applyBorder="1" applyAlignment="1">
      <alignment horizontal="centerContinuous" vertical="center"/>
    </xf>
    <xf numFmtId="0" fontId="19" fillId="5" borderId="9" xfId="1" applyFont="1" applyFill="1" applyBorder="1" applyAlignment="1">
      <alignment horizontal="left" vertical="center" wrapText="1" indent="1"/>
    </xf>
    <xf numFmtId="0" fontId="40" fillId="11" borderId="16" xfId="1" applyFont="1" applyFill="1" applyBorder="1" applyAlignment="1">
      <alignment horizontal="left" vertical="center" wrapText="1" indent="1"/>
    </xf>
    <xf numFmtId="0" fontId="17" fillId="0" borderId="37" xfId="1" applyFont="1" applyBorder="1" applyAlignment="1">
      <alignment horizontal="left" vertical="center" wrapText="1" indent="1"/>
    </xf>
    <xf numFmtId="167" fontId="31" fillId="0" borderId="0" xfId="1" applyNumberFormat="1" applyFont="1"/>
    <xf numFmtId="0" fontId="8" fillId="5" borderId="26" xfId="1" applyFont="1" applyFill="1" applyBorder="1" applyAlignment="1">
      <alignment horizontal="left" vertical="center" wrapText="1" indent="1"/>
    </xf>
    <xf numFmtId="0" fontId="24" fillId="7" borderId="0" xfId="1" applyFont="1" applyFill="1" applyAlignment="1">
      <alignment horizontal="centerContinuous" vertical="center"/>
    </xf>
    <xf numFmtId="0" fontId="24" fillId="7" borderId="0" xfId="1" applyFont="1" applyFill="1" applyAlignment="1">
      <alignment horizontal="centerContinuous"/>
    </xf>
    <xf numFmtId="0" fontId="24" fillId="7" borderId="5" xfId="1" applyFont="1" applyFill="1" applyBorder="1" applyAlignment="1">
      <alignment horizontal="centerContinuous" vertical="center"/>
    </xf>
    <xf numFmtId="0" fontId="17" fillId="0" borderId="9" xfId="1" applyFont="1" applyBorder="1" applyAlignment="1">
      <alignment horizontal="left" vertical="center" wrapText="1" indent="1"/>
    </xf>
    <xf numFmtId="0" fontId="17" fillId="0" borderId="36" xfId="1" applyFont="1" applyBorder="1" applyAlignment="1">
      <alignment horizontal="left" vertical="center" wrapText="1" indent="1"/>
    </xf>
    <xf numFmtId="0" fontId="17" fillId="0" borderId="34" xfId="1" applyFont="1" applyBorder="1" applyAlignment="1">
      <alignment horizontal="left" vertical="center" wrapText="1" indent="1"/>
    </xf>
    <xf numFmtId="164" fontId="40" fillId="11" borderId="45" xfId="1" applyNumberFormat="1" applyFont="1" applyFill="1" applyBorder="1" applyAlignment="1">
      <alignment horizontal="left" vertical="center" wrapText="1" indent="1"/>
    </xf>
    <xf numFmtId="0" fontId="21" fillId="0" borderId="9" xfId="1" applyFont="1" applyBorder="1" applyAlignment="1">
      <alignment horizontal="centerContinuous" vertical="center" wrapText="1"/>
    </xf>
    <xf numFmtId="0" fontId="21" fillId="0" borderId="10" xfId="1" applyFont="1" applyBorder="1" applyAlignment="1">
      <alignment horizontal="centerContinuous" vertical="center" wrapText="1"/>
    </xf>
    <xf numFmtId="0" fontId="21" fillId="0" borderId="11" xfId="1" applyFont="1" applyBorder="1" applyAlignment="1">
      <alignment horizontal="centerContinuous" vertical="center" wrapText="1"/>
    </xf>
    <xf numFmtId="0" fontId="17" fillId="0" borderId="92" xfId="1" applyFont="1" applyBorder="1" applyAlignment="1">
      <alignment horizontal="left" vertical="center" wrapText="1" indent="1"/>
    </xf>
    <xf numFmtId="0" fontId="17" fillId="0" borderId="94" xfId="1" applyFont="1" applyBorder="1" applyAlignment="1">
      <alignment horizontal="left" vertical="center" wrapText="1" indent="1"/>
    </xf>
    <xf numFmtId="0" fontId="17" fillId="0" borderId="95" xfId="1" applyFont="1" applyBorder="1" applyAlignment="1">
      <alignment horizontal="left" vertical="center" wrapText="1" indent="1"/>
    </xf>
    <xf numFmtId="0" fontId="19" fillId="5" borderId="4" xfId="1" applyFont="1" applyFill="1" applyBorder="1" applyAlignment="1">
      <alignment horizontal="left" vertical="center" wrapText="1" indent="1"/>
    </xf>
    <xf numFmtId="0" fontId="21" fillId="5" borderId="7" xfId="1" applyFont="1" applyFill="1" applyBorder="1" applyAlignment="1">
      <alignment horizontal="left" vertical="center" wrapText="1" indent="1"/>
    </xf>
    <xf numFmtId="0" fontId="9" fillId="5" borderId="7" xfId="1" applyFont="1" applyFill="1" applyBorder="1" applyAlignment="1">
      <alignment horizontal="left" vertical="center" wrapText="1" indent="1"/>
    </xf>
    <xf numFmtId="164" fontId="9" fillId="5" borderId="7" xfId="1" applyNumberFormat="1" applyFont="1" applyFill="1" applyBorder="1" applyAlignment="1">
      <alignment horizontal="left" vertical="center" wrapText="1" indent="1"/>
    </xf>
    <xf numFmtId="0" fontId="17" fillId="5" borderId="7" xfId="1" applyFont="1" applyFill="1" applyBorder="1" applyAlignment="1">
      <alignment horizontal="left" vertical="center" wrapText="1" indent="1"/>
    </xf>
    <xf numFmtId="0" fontId="9" fillId="5" borderId="97" xfId="1" applyFont="1" applyFill="1" applyBorder="1" applyAlignment="1">
      <alignment horizontal="left" vertical="center" wrapText="1" indent="1"/>
    </xf>
    <xf numFmtId="0" fontId="17" fillId="0" borderId="52" xfId="1" applyFont="1" applyBorder="1" applyAlignment="1">
      <alignment horizontal="left" vertical="center" wrapText="1" indent="1"/>
    </xf>
    <xf numFmtId="164" fontId="9" fillId="12" borderId="50" xfId="1" applyNumberFormat="1" applyFont="1" applyFill="1" applyBorder="1" applyAlignment="1">
      <alignment horizontal="left" vertical="center" wrapText="1" indent="1"/>
    </xf>
    <xf numFmtId="0" fontId="22" fillId="6" borderId="28" xfId="1" applyFont="1" applyFill="1" applyBorder="1" applyAlignment="1">
      <alignment horizontal="centerContinuous" vertical="center" wrapText="1"/>
    </xf>
    <xf numFmtId="0" fontId="23" fillId="6" borderId="29" xfId="1" applyFont="1" applyFill="1" applyBorder="1" applyAlignment="1">
      <alignment horizontal="centerContinuous" vertical="center" wrapText="1"/>
    </xf>
    <xf numFmtId="0" fontId="21" fillId="6" borderId="29" xfId="1" applyFont="1" applyFill="1" applyBorder="1" applyAlignment="1">
      <alignment horizontal="centerContinuous" vertical="center" wrapText="1"/>
    </xf>
    <xf numFmtId="0" fontId="23" fillId="6" borderId="30" xfId="1" applyFont="1" applyFill="1" applyBorder="1" applyAlignment="1">
      <alignment horizontal="centerContinuous" vertical="center" wrapText="1"/>
    </xf>
    <xf numFmtId="0" fontId="25" fillId="0" borderId="0" xfId="1" applyFont="1"/>
    <xf numFmtId="0" fontId="26" fillId="7" borderId="0" xfId="1" applyFont="1" applyFill="1" applyAlignment="1">
      <alignment horizontal="centerContinuous" vertical="center"/>
    </xf>
    <xf numFmtId="0" fontId="26" fillId="7" borderId="5" xfId="1" applyFont="1" applyFill="1" applyBorder="1" applyAlignment="1">
      <alignment horizontal="centerContinuous" vertical="center"/>
    </xf>
    <xf numFmtId="0" fontId="15" fillId="7" borderId="25" xfId="1" applyFont="1" applyFill="1" applyBorder="1" applyAlignment="1">
      <alignment horizontal="centerContinuous" vertical="center"/>
    </xf>
    <xf numFmtId="0" fontId="15" fillId="7" borderId="26" xfId="1" applyFont="1" applyFill="1" applyBorder="1" applyAlignment="1">
      <alignment horizontal="centerContinuous" vertical="center"/>
    </xf>
    <xf numFmtId="0" fontId="19" fillId="5" borderId="31" xfId="1" applyFont="1" applyFill="1" applyBorder="1" applyAlignment="1">
      <alignment horizontal="left" vertical="center" wrapText="1" indent="1"/>
    </xf>
    <xf numFmtId="0" fontId="9" fillId="5" borderId="32" xfId="1" applyFont="1" applyFill="1" applyBorder="1" applyAlignment="1">
      <alignment horizontal="left" vertical="center" wrapText="1" indent="1"/>
    </xf>
    <xf numFmtId="0" fontId="8" fillId="5" borderId="32" xfId="1" applyFont="1" applyFill="1" applyBorder="1" applyAlignment="1">
      <alignment horizontal="left" vertical="center" wrapText="1" indent="1"/>
    </xf>
    <xf numFmtId="169" fontId="40" fillId="11" borderId="42" xfId="1" applyNumberFormat="1" applyFont="1" applyFill="1" applyBorder="1" applyAlignment="1">
      <alignment horizontal="left" vertical="center" wrapText="1" indent="1"/>
    </xf>
    <xf numFmtId="0" fontId="40" fillId="11" borderId="43" xfId="1" applyFont="1" applyFill="1" applyBorder="1" applyAlignment="1">
      <alignment horizontal="left" vertical="center" wrapText="1" indent="1"/>
    </xf>
    <xf numFmtId="0" fontId="17" fillId="0" borderId="41" xfId="1" applyFont="1" applyBorder="1" applyAlignment="1">
      <alignment horizontal="left" vertical="center" wrapText="1" indent="1"/>
    </xf>
    <xf numFmtId="0" fontId="17" fillId="0" borderId="91" xfId="1" applyFont="1" applyBorder="1" applyAlignment="1">
      <alignment horizontal="left" vertical="center" wrapText="1" indent="1"/>
    </xf>
    <xf numFmtId="0" fontId="17" fillId="0" borderId="19" xfId="1" applyFont="1" applyBorder="1" applyAlignment="1">
      <alignment horizontal="left" vertical="center" wrapText="1" indent="1"/>
    </xf>
    <xf numFmtId="0" fontId="17" fillId="0" borderId="40" xfId="1" applyFont="1" applyBorder="1" applyAlignment="1">
      <alignment horizontal="left" vertical="center" wrapText="1" indent="1"/>
    </xf>
    <xf numFmtId="0" fontId="4" fillId="5" borderId="7" xfId="1" applyFont="1" applyFill="1" applyBorder="1"/>
    <xf numFmtId="0" fontId="4" fillId="5" borderId="8" xfId="1" applyFont="1" applyFill="1" applyBorder="1"/>
    <xf numFmtId="164" fontId="40" fillId="11" borderId="11" xfId="1" applyNumberFormat="1" applyFont="1" applyFill="1" applyBorder="1" applyAlignment="1">
      <alignment horizontal="left" vertical="center" wrapText="1" indent="1"/>
    </xf>
    <xf numFmtId="0" fontId="21" fillId="5" borderId="18" xfId="1" applyFont="1" applyFill="1" applyBorder="1" applyAlignment="1">
      <alignment horizontal="left" vertical="center" wrapText="1" indent="1"/>
    </xf>
    <xf numFmtId="0" fontId="21" fillId="5" borderId="25" xfId="1" applyFont="1" applyFill="1" applyBorder="1" applyAlignment="1">
      <alignment horizontal="left" vertical="center" wrapText="1" indent="1"/>
    </xf>
    <xf numFmtId="0" fontId="14" fillId="7" borderId="18" xfId="1" applyFont="1" applyFill="1" applyBorder="1" applyAlignment="1">
      <alignment horizontal="centerContinuous" vertical="center"/>
    </xf>
    <xf numFmtId="0" fontId="9" fillId="5" borderId="79" xfId="1" applyFont="1" applyFill="1" applyBorder="1" applyAlignment="1">
      <alignment horizontal="left" vertical="center" wrapText="1" indent="1"/>
    </xf>
    <xf numFmtId="0" fontId="21" fillId="5" borderId="0" xfId="1" applyFont="1" applyFill="1" applyAlignment="1">
      <alignment horizontal="left" vertical="center" wrapText="1" indent="1"/>
    </xf>
    <xf numFmtId="164" fontId="9" fillId="5" borderId="0" xfId="1" applyNumberFormat="1" applyFont="1" applyFill="1" applyAlignment="1">
      <alignment horizontal="left" vertical="center" wrapText="1" indent="1"/>
    </xf>
    <xf numFmtId="44" fontId="40" fillId="11" borderId="53" xfId="1" applyNumberFormat="1" applyFont="1" applyFill="1" applyBorder="1" applyAlignment="1">
      <alignment horizontal="left" vertical="center" wrapText="1" indent="1"/>
    </xf>
    <xf numFmtId="0" fontId="40" fillId="11" borderId="53" xfId="1" applyFont="1" applyFill="1" applyBorder="1" applyAlignment="1">
      <alignment horizontal="left" vertical="center" wrapText="1" indent="1"/>
    </xf>
    <xf numFmtId="167" fontId="40" fillId="11" borderId="78" xfId="5" applyNumberFormat="1" applyFont="1" applyFill="1" applyBorder="1" applyAlignment="1" applyProtection="1">
      <alignment horizontal="left" vertical="center" wrapText="1" indent="1"/>
    </xf>
    <xf numFmtId="0" fontId="21" fillId="5" borderId="21" xfId="1" applyFont="1" applyFill="1" applyBorder="1" applyAlignment="1">
      <alignment horizontal="left" vertical="center" wrapText="1" indent="1"/>
    </xf>
    <xf numFmtId="0" fontId="21" fillId="5" borderId="22" xfId="1" applyFont="1" applyFill="1" applyBorder="1" applyAlignment="1">
      <alignment horizontal="left" vertical="center" wrapText="1" indent="1"/>
    </xf>
    <xf numFmtId="0" fontId="22" fillId="6" borderId="2" xfId="1" applyFont="1" applyFill="1" applyBorder="1" applyAlignment="1">
      <alignment horizontal="centerContinuous" vertical="center" wrapText="1"/>
    </xf>
    <xf numFmtId="0" fontId="22" fillId="6" borderId="3" xfId="1" applyFont="1" applyFill="1" applyBorder="1" applyAlignment="1">
      <alignment horizontal="centerContinuous" vertical="center" wrapText="1"/>
    </xf>
    <xf numFmtId="0" fontId="14" fillId="7" borderId="18" xfId="1" applyFont="1" applyFill="1" applyBorder="1" applyAlignment="1">
      <alignment horizontal="centerContinuous" vertical="top"/>
    </xf>
    <xf numFmtId="0" fontId="14" fillId="7" borderId="25" xfId="1" applyFont="1" applyFill="1" applyBorder="1" applyAlignment="1">
      <alignment horizontal="centerContinuous" vertical="top"/>
    </xf>
    <xf numFmtId="0" fontId="14" fillId="7" borderId="26" xfId="1" applyFont="1" applyFill="1" applyBorder="1" applyAlignment="1">
      <alignment horizontal="centerContinuous" vertical="top"/>
    </xf>
    <xf numFmtId="0" fontId="40" fillId="11" borderId="13" xfId="1" applyFont="1" applyFill="1" applyBorder="1" applyAlignment="1">
      <alignment horizontal="left" vertical="center" wrapText="1" indent="1"/>
    </xf>
    <xf numFmtId="168" fontId="40" fillId="11" borderId="11" xfId="1" applyNumberFormat="1" applyFont="1" applyFill="1" applyBorder="1" applyAlignment="1">
      <alignment horizontal="left" vertical="center" wrapText="1" indent="1"/>
    </xf>
    <xf numFmtId="168" fontId="40" fillId="11" borderId="16" xfId="1" applyNumberFormat="1" applyFont="1" applyFill="1" applyBorder="1" applyAlignment="1">
      <alignment horizontal="left" vertical="center" wrapText="1" indent="1"/>
    </xf>
    <xf numFmtId="168" fontId="40" fillId="11" borderId="27" xfId="1" applyNumberFormat="1" applyFont="1" applyFill="1" applyBorder="1" applyAlignment="1">
      <alignment horizontal="left" vertical="center" wrapText="1" indent="1"/>
    </xf>
    <xf numFmtId="164" fontId="40" fillId="11" borderId="39" xfId="1" applyNumberFormat="1" applyFont="1" applyFill="1" applyBorder="1" applyAlignment="1">
      <alignment horizontal="left" vertical="center" wrapText="1" indent="1"/>
    </xf>
    <xf numFmtId="167" fontId="40" fillId="11" borderId="20" xfId="5" applyNumberFormat="1" applyFont="1" applyFill="1" applyBorder="1" applyAlignment="1" applyProtection="1">
      <alignment horizontal="left" vertical="center" wrapText="1" indent="1"/>
    </xf>
    <xf numFmtId="0" fontId="29" fillId="0" borderId="0" xfId="1" applyFont="1"/>
    <xf numFmtId="0" fontId="9" fillId="12" borderId="10" xfId="1" applyFont="1" applyFill="1" applyBorder="1" applyAlignment="1" applyProtection="1">
      <alignment horizontal="center" vertical="center" wrapText="1"/>
      <protection locked="0"/>
    </xf>
    <xf numFmtId="0" fontId="9" fillId="12" borderId="16" xfId="1" applyFont="1" applyFill="1" applyBorder="1" applyAlignment="1" applyProtection="1">
      <alignment horizontal="center" vertical="center" wrapText="1"/>
      <protection locked="0"/>
    </xf>
    <xf numFmtId="0" fontId="40" fillId="11" borderId="34" xfId="1" applyFont="1" applyFill="1" applyBorder="1" applyAlignment="1">
      <alignment horizontal="center" vertical="center" wrapText="1"/>
    </xf>
    <xf numFmtId="0" fontId="40" fillId="11" borderId="49" xfId="1" applyFont="1" applyFill="1" applyBorder="1" applyAlignment="1">
      <alignment horizontal="center" vertical="center" wrapText="1"/>
    </xf>
    <xf numFmtId="9" fontId="9" fillId="12" borderId="10" xfId="1" applyNumberFormat="1" applyFont="1" applyFill="1" applyBorder="1" applyAlignment="1" applyProtection="1">
      <alignment horizontal="center" vertical="center" wrapText="1"/>
      <protection locked="0"/>
    </xf>
    <xf numFmtId="9" fontId="9" fillId="12" borderId="16" xfId="1" applyNumberFormat="1" applyFont="1" applyFill="1" applyBorder="1" applyAlignment="1" applyProtection="1">
      <alignment horizontal="center" vertical="center" wrapText="1"/>
      <protection locked="0"/>
    </xf>
    <xf numFmtId="9" fontId="40" fillId="11" borderId="34" xfId="1" applyNumberFormat="1" applyFont="1" applyFill="1" applyBorder="1" applyAlignment="1">
      <alignment horizontal="center" vertical="center" wrapText="1"/>
    </xf>
    <xf numFmtId="9" fontId="40" fillId="11" borderId="11" xfId="1" applyNumberFormat="1" applyFont="1" applyFill="1" applyBorder="1" applyAlignment="1">
      <alignment horizontal="center" vertical="center" wrapText="1"/>
    </xf>
    <xf numFmtId="0" fontId="9" fillId="12" borderId="25" xfId="1" applyFont="1" applyFill="1" applyBorder="1" applyAlignment="1" applyProtection="1">
      <alignment horizontal="center" vertical="center" wrapText="1"/>
      <protection locked="0"/>
    </xf>
    <xf numFmtId="0" fontId="9" fillId="12" borderId="51" xfId="1" applyFont="1" applyFill="1" applyBorder="1" applyAlignment="1" applyProtection="1">
      <alignment horizontal="center" vertical="center" wrapText="1"/>
      <protection locked="0"/>
    </xf>
    <xf numFmtId="0" fontId="5" fillId="7" borderId="6" xfId="1" applyFont="1" applyFill="1" applyBorder="1" applyAlignment="1">
      <alignment horizontal="center" vertical="center" wrapText="1"/>
    </xf>
    <xf numFmtId="0" fontId="5" fillId="7" borderId="7" xfId="1" applyFont="1" applyFill="1" applyBorder="1" applyAlignment="1">
      <alignment horizontal="center" vertical="center"/>
    </xf>
    <xf numFmtId="0" fontId="5" fillId="7" borderId="8" xfId="1" applyFont="1" applyFill="1" applyBorder="1" applyAlignment="1">
      <alignment horizontal="center" vertical="center"/>
    </xf>
    <xf numFmtId="0" fontId="17" fillId="0" borderId="9" xfId="1" applyFont="1" applyBorder="1" applyAlignment="1">
      <alignment horizontal="center" vertical="center" wrapText="1"/>
    </xf>
    <xf numFmtId="0" fontId="17" fillId="0" borderId="47"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48"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34" xfId="1" applyFont="1" applyBorder="1" applyAlignment="1">
      <alignment horizontal="center" vertical="center" wrapText="1"/>
    </xf>
    <xf numFmtId="0" fontId="17" fillId="0" borderId="11" xfId="1" applyFont="1" applyBorder="1" applyAlignment="1">
      <alignment horizontal="center" vertical="center" wrapText="1"/>
    </xf>
    <xf numFmtId="0" fontId="37" fillId="5" borderId="89" xfId="0" applyFont="1" applyFill="1" applyBorder="1" applyAlignment="1">
      <alignment horizontal="center" vertical="center" wrapText="1"/>
    </xf>
    <xf numFmtId="0" fontId="37" fillId="5" borderId="41" xfId="0" applyFont="1" applyFill="1" applyBorder="1" applyAlignment="1">
      <alignment horizontal="center" vertical="center" wrapText="1"/>
    </xf>
    <xf numFmtId="0" fontId="37" fillId="5" borderId="38" xfId="0" applyFont="1" applyFill="1" applyBorder="1" applyAlignment="1">
      <alignment horizontal="center" vertical="center" wrapText="1"/>
    </xf>
    <xf numFmtId="0" fontId="33" fillId="9" borderId="6" xfId="1" applyFont="1" applyFill="1" applyBorder="1" applyAlignment="1">
      <alignment horizontal="left" vertical="center" wrapText="1" indent="3"/>
    </xf>
    <xf numFmtId="0" fontId="33" fillId="9" borderId="7" xfId="1" applyFont="1" applyFill="1" applyBorder="1" applyAlignment="1">
      <alignment horizontal="left" vertical="center" wrapText="1" indent="3"/>
    </xf>
    <xf numFmtId="0" fontId="33" fillId="9" borderId="8" xfId="1" applyFont="1" applyFill="1" applyBorder="1" applyAlignment="1">
      <alignment horizontal="left" vertical="center" wrapText="1" indent="3"/>
    </xf>
    <xf numFmtId="0" fontId="5" fillId="9" borderId="4" xfId="1" applyFont="1" applyFill="1" applyBorder="1" applyAlignment="1">
      <alignment horizontal="center" vertical="center"/>
    </xf>
    <xf numFmtId="0" fontId="5" fillId="9" borderId="0" xfId="1" applyFont="1" applyFill="1" applyAlignment="1">
      <alignment horizontal="center" vertical="center"/>
    </xf>
    <xf numFmtId="0" fontId="5" fillId="9" borderId="5" xfId="1" applyFont="1" applyFill="1" applyBorder="1" applyAlignment="1">
      <alignment horizontal="center" vertical="center"/>
    </xf>
    <xf numFmtId="0" fontId="58" fillId="7" borderId="22" xfId="0" applyFont="1" applyFill="1" applyBorder="1" applyAlignment="1">
      <alignment horizontal="center" vertical="center" wrapText="1"/>
    </xf>
    <xf numFmtId="0" fontId="58" fillId="7" borderId="25" xfId="0" applyFont="1" applyFill="1" applyBorder="1" applyAlignment="1">
      <alignment horizontal="center" vertical="center" wrapText="1"/>
    </xf>
    <xf numFmtId="0" fontId="42" fillId="6" borderId="105" xfId="0" applyFont="1" applyFill="1" applyBorder="1" applyAlignment="1">
      <alignment horizontal="center"/>
    </xf>
    <xf numFmtId="0" fontId="42" fillId="6" borderId="106" xfId="0" applyFont="1" applyFill="1" applyBorder="1" applyAlignment="1">
      <alignment horizontal="center"/>
    </xf>
  </cellXfs>
  <cellStyles count="7">
    <cellStyle name="Comma" xfId="5" builtinId="3"/>
    <cellStyle name="Comma 2" xfId="2" xr:uid="{BD9B10AE-6501-4509-8451-BD6D67FA26C5}"/>
    <cellStyle name="Currency" xfId="6" builtinId="4"/>
    <cellStyle name="Currency 2" xfId="4" xr:uid="{A5491E6F-8E1C-4F0D-A9ED-6A75A6832A36}"/>
    <cellStyle name="Hyperlink 2" xfId="3" xr:uid="{2A1BA820-9265-4BA2-B51D-B22422101AD3}"/>
    <cellStyle name="Normal" xfId="0" builtinId="0"/>
    <cellStyle name="Normal 2" xfId="1" xr:uid="{FC66595E-2A85-48B5-AD63-82B9A05D332A}"/>
  </cellStyles>
  <dxfs count="45">
    <dxf>
      <font>
        <color rgb="FFC00000"/>
      </font>
    </dxf>
    <dxf>
      <font>
        <color rgb="FFC00000"/>
      </font>
    </dxf>
    <dxf>
      <font>
        <color rgb="FFC00000"/>
      </font>
    </dxf>
    <dxf>
      <font>
        <color rgb="FFC00000"/>
      </font>
    </dxf>
    <dxf>
      <font>
        <color rgb="FFC00000"/>
      </font>
    </dxf>
    <dxf>
      <font>
        <color rgb="FFC00000"/>
      </font>
    </dxf>
    <dxf>
      <font>
        <color rgb="FFC00000"/>
      </font>
    </dxf>
    <dxf>
      <font>
        <color rgb="FFC22114"/>
      </font>
    </dxf>
    <dxf>
      <font>
        <color rgb="FFF0F9FA"/>
      </font>
      <numFmt numFmtId="171" formatCode=";;;"/>
      <fill>
        <patternFill>
          <bgColor rgb="FFF0F9FA"/>
        </patternFill>
      </fill>
      <border>
        <top/>
        <bottom/>
        <vertical/>
        <horizontal/>
      </border>
    </dxf>
    <dxf>
      <font>
        <color rgb="FFF0F9FA"/>
      </font>
      <numFmt numFmtId="172" formatCode="\'\'\'"/>
      <fill>
        <patternFill>
          <bgColor rgb="FFF0F9FA"/>
        </patternFill>
      </fill>
      <border>
        <top/>
        <vertical/>
        <horizontal/>
      </border>
    </dxf>
    <dxf>
      <font>
        <color rgb="FFF0F9FA"/>
      </font>
      <numFmt numFmtId="171" formatCode=";;;"/>
      <fill>
        <patternFill>
          <bgColor rgb="FFF0F9FA"/>
        </patternFill>
      </fill>
      <border>
        <top/>
        <bottom/>
        <vertical/>
        <horizontal/>
      </border>
    </dxf>
    <dxf>
      <font>
        <color rgb="FFF0F9FA"/>
      </font>
      <fill>
        <patternFill>
          <bgColor rgb="FFF0F9FA"/>
        </patternFill>
      </fill>
      <border>
        <top/>
        <bottom/>
        <vertical/>
        <horizontal/>
      </border>
    </dxf>
    <dxf>
      <font>
        <color rgb="FFF0F9FA"/>
      </font>
      <fill>
        <patternFill>
          <bgColor rgb="FFF0F9FA"/>
        </patternFill>
      </fill>
      <border>
        <top/>
        <bottom/>
        <vertical/>
        <horizontal/>
      </border>
    </dxf>
    <dxf>
      <font>
        <color rgb="FFF0F9FA"/>
      </font>
      <numFmt numFmtId="171" formatCode=";;;"/>
      <fill>
        <patternFill>
          <bgColor rgb="FFF0F9FA"/>
        </patternFill>
      </fill>
      <border>
        <top/>
        <bottom/>
        <vertical/>
        <horizontal/>
      </border>
    </dxf>
    <dxf>
      <font>
        <color rgb="FFF0F9FA"/>
      </font>
      <numFmt numFmtId="171" formatCode=";;;"/>
      <fill>
        <patternFill>
          <bgColor rgb="FFF0F9FA"/>
        </patternFill>
      </fill>
      <border>
        <top/>
        <bottom/>
        <vertical/>
        <horizontal/>
      </border>
    </dxf>
    <dxf>
      <font>
        <color rgb="FFF0F9FA"/>
      </font>
      <numFmt numFmtId="171" formatCode=";;;"/>
      <fill>
        <patternFill>
          <bgColor rgb="FFF0F9FA"/>
        </patternFill>
      </fill>
      <border>
        <top/>
        <bottom/>
        <vertical/>
        <horizontal/>
      </border>
    </dxf>
    <dxf>
      <font>
        <color rgb="FFF0F9FA"/>
      </font>
      <fill>
        <patternFill>
          <bgColor rgb="FFF0F9FA"/>
        </patternFill>
      </fill>
      <border>
        <top/>
        <bottom/>
        <vertical/>
        <horizontal/>
      </border>
    </dxf>
    <dxf>
      <font>
        <color rgb="FFF0F9FA"/>
      </font>
      <numFmt numFmtId="171" formatCode=";;;"/>
      <fill>
        <patternFill>
          <bgColor rgb="FFF0F9FA"/>
        </patternFill>
      </fill>
      <border>
        <top/>
        <bottom/>
        <vertical/>
        <horizontal/>
      </border>
    </dxf>
    <dxf>
      <font>
        <color rgb="FFF0F9FA"/>
      </font>
      <numFmt numFmtId="171" formatCode=";;;"/>
      <fill>
        <patternFill>
          <bgColor rgb="FFF0F9FA"/>
        </patternFill>
      </fill>
      <border>
        <left/>
        <right/>
        <top/>
        <vertical/>
        <horizontal/>
      </border>
    </dxf>
    <dxf>
      <font>
        <color rgb="FFF0F9FA"/>
      </font>
      <numFmt numFmtId="171" formatCode=";;;"/>
      <fill>
        <patternFill>
          <bgColor rgb="FFF0F9FA"/>
        </patternFill>
      </fill>
      <border>
        <top/>
        <bottom/>
        <vertical/>
        <horizontal/>
      </border>
    </dxf>
    <dxf>
      <font>
        <color rgb="FFF0F9FA"/>
      </font>
      <fill>
        <patternFill>
          <bgColor rgb="FFF0F9FA"/>
        </patternFill>
      </fill>
      <border>
        <top/>
        <bottom/>
        <vertical/>
        <horizontal/>
      </border>
    </dxf>
    <dxf>
      <font>
        <color rgb="FFF0F9FA"/>
      </font>
      <numFmt numFmtId="171" formatCode=";;;"/>
      <fill>
        <patternFill>
          <bgColor rgb="FFF0F9FA"/>
        </patternFill>
      </fill>
      <border>
        <right/>
        <top/>
        <bottom/>
        <vertical/>
        <horizontal/>
      </border>
    </dxf>
    <dxf>
      <font>
        <color rgb="FFF0F9FA"/>
      </font>
      <numFmt numFmtId="171" formatCode=";;;"/>
      <fill>
        <patternFill>
          <bgColor rgb="FFF0F9FA"/>
        </patternFill>
      </fill>
      <border>
        <top/>
        <bottom/>
        <vertical/>
        <horizontal/>
      </border>
    </dxf>
    <dxf>
      <font>
        <color rgb="FFF0F9FA"/>
      </font>
      <numFmt numFmtId="171" formatCode=";;;"/>
      <fill>
        <patternFill>
          <bgColor rgb="FFF0F9FA"/>
        </patternFill>
      </fill>
      <border>
        <right/>
        <top/>
        <bottom/>
        <vertical/>
        <horizontal/>
      </border>
    </dxf>
    <dxf>
      <font>
        <color rgb="FFC00000"/>
      </font>
      <fill>
        <patternFill>
          <bgColor rgb="FFFEF2CD"/>
        </patternFill>
      </fill>
      <border>
        <vertical/>
        <horizontal/>
      </border>
    </dxf>
    <dxf>
      <font>
        <color rgb="FFF0F9FA"/>
      </font>
      <numFmt numFmtId="171" formatCode=";;;"/>
      <fill>
        <patternFill>
          <bgColor rgb="FFF0F9FA"/>
        </patternFill>
      </fill>
      <border>
        <right/>
        <top/>
        <bottom/>
        <vertical/>
        <horizontal/>
      </border>
    </dxf>
    <dxf>
      <font>
        <color rgb="FFF0F9FA"/>
      </font>
      <numFmt numFmtId="171" formatCode=";;;"/>
      <fill>
        <patternFill>
          <bgColor rgb="FFF0F9FA"/>
        </patternFill>
      </fill>
      <border>
        <right/>
        <top/>
        <vertical/>
        <horizontal/>
      </border>
    </dxf>
    <dxf>
      <font>
        <color rgb="FFF0F9FA"/>
      </font>
      <numFmt numFmtId="171" formatCode=";;;"/>
      <fill>
        <patternFill>
          <bgColor rgb="FFF0F9FA"/>
        </patternFill>
      </fill>
      <border>
        <right/>
        <top/>
        <bottom/>
        <vertical/>
        <horizontal/>
      </border>
    </dxf>
    <dxf>
      <font>
        <color rgb="FFC00000"/>
      </font>
      <fill>
        <patternFill>
          <bgColor rgb="FFFEF2CD"/>
        </patternFill>
      </fill>
    </dxf>
    <dxf>
      <font>
        <color rgb="FFF0F9FA"/>
      </font>
      <numFmt numFmtId="171" formatCode=";;;"/>
      <fill>
        <patternFill>
          <bgColor rgb="FFF0F9FA"/>
        </patternFill>
      </fill>
      <border>
        <right/>
        <top/>
        <bottom/>
        <vertical/>
        <horizontal/>
      </border>
    </dxf>
    <dxf>
      <font>
        <color rgb="FFF0F9FA"/>
      </font>
      <numFmt numFmtId="171" formatCode=";;;"/>
      <fill>
        <patternFill>
          <bgColor rgb="FFF0F9FA"/>
        </patternFill>
      </fill>
      <border>
        <right/>
        <top/>
        <bottom/>
        <vertical/>
        <horizontal/>
      </border>
    </dxf>
    <dxf>
      <font>
        <color rgb="FFF0F9FA"/>
      </font>
      <numFmt numFmtId="171" formatCode=";;;"/>
      <fill>
        <patternFill>
          <bgColor rgb="FFF0F9FA"/>
        </patternFill>
      </fill>
      <border>
        <right/>
        <top/>
        <bottom/>
        <vertical/>
        <horizontal/>
      </border>
    </dxf>
    <dxf>
      <font>
        <color rgb="FFF0F9FA"/>
      </font>
      <numFmt numFmtId="171" formatCode=";;;"/>
      <fill>
        <patternFill>
          <bgColor rgb="FFF0F9FA"/>
        </patternFill>
      </fill>
      <border>
        <right/>
        <top/>
        <vertical/>
        <horizontal/>
      </border>
    </dxf>
    <dxf>
      <font>
        <color rgb="FFF0F9FA"/>
      </font>
      <numFmt numFmtId="171" formatCode=";;;"/>
      <fill>
        <patternFill>
          <bgColor rgb="FFF0F9FA"/>
        </patternFill>
      </fill>
      <border>
        <right/>
        <top/>
        <bottom/>
        <vertical/>
        <horizontal/>
      </border>
    </dxf>
    <dxf>
      <font>
        <color rgb="FFF0F9FA"/>
      </font>
      <numFmt numFmtId="171" formatCode=";;;"/>
      <fill>
        <patternFill>
          <bgColor rgb="FFF0F9FA"/>
        </patternFill>
      </fill>
      <border>
        <left/>
        <right/>
        <top/>
        <bottom/>
        <vertical/>
        <horizontal/>
      </border>
    </dxf>
    <dxf>
      <font>
        <color rgb="FFF0F9FA"/>
      </font>
      <numFmt numFmtId="171" formatCode=";;;"/>
      <fill>
        <patternFill>
          <bgColor rgb="FFF0F9FA"/>
        </patternFill>
      </fill>
      <border>
        <left/>
        <top/>
        <bottom/>
        <vertical/>
        <horizontal/>
      </border>
    </dxf>
    <dxf>
      <font>
        <color rgb="FFF0F9FA"/>
      </font>
      <numFmt numFmtId="171" formatCode=";;;"/>
      <fill>
        <patternFill>
          <bgColor rgb="FFF0F9FA"/>
        </patternFill>
      </fill>
      <border>
        <right/>
        <top/>
        <bottom/>
        <vertical/>
        <horizontal/>
      </border>
    </dxf>
    <dxf>
      <font>
        <color rgb="FFF0F9FA"/>
      </font>
      <numFmt numFmtId="171" formatCode=";;;"/>
      <fill>
        <patternFill>
          <bgColor rgb="FFF0F9FA"/>
        </patternFill>
      </fill>
      <border>
        <right/>
        <top/>
        <bottom/>
        <vertical/>
        <horizontal/>
      </border>
    </dxf>
    <dxf>
      <font>
        <color rgb="FFF0F9FA"/>
      </font>
      <numFmt numFmtId="171" formatCode=";;;"/>
      <fill>
        <patternFill>
          <bgColor rgb="FFF0F9FA"/>
        </patternFill>
      </fill>
      <border>
        <right/>
        <top/>
        <vertical/>
        <horizontal/>
      </border>
    </dxf>
    <dxf>
      <font>
        <color rgb="FFF0F9FA"/>
      </font>
      <numFmt numFmtId="171" formatCode=";;;"/>
      <fill>
        <patternFill>
          <bgColor rgb="FFF0F9FA"/>
        </patternFill>
      </fill>
      <border>
        <left/>
        <top/>
        <bottom/>
        <vertical/>
        <horizontal/>
      </border>
    </dxf>
    <dxf>
      <font>
        <color rgb="FFF0F9FA"/>
      </font>
      <numFmt numFmtId="171" formatCode=";;;"/>
      <fill>
        <patternFill>
          <bgColor rgb="FFF0F9FA"/>
        </patternFill>
      </fill>
      <border>
        <left/>
        <top/>
        <bottom/>
        <vertical/>
        <horizontal/>
      </border>
    </dxf>
    <dxf>
      <font>
        <color rgb="FFF0F9FA"/>
      </font>
      <numFmt numFmtId="171" formatCode=";;;"/>
      <fill>
        <patternFill>
          <bgColor rgb="FFF0F9FA"/>
        </patternFill>
      </fill>
      <border>
        <right/>
        <top/>
        <bottom/>
        <vertical/>
        <horizontal/>
      </border>
    </dxf>
    <dxf>
      <font>
        <color rgb="FFF0F9FA"/>
      </font>
      <fill>
        <patternFill>
          <bgColor rgb="FFF0F9FA"/>
        </patternFill>
      </fill>
      <border>
        <right/>
        <top/>
        <bottom/>
        <vertical/>
        <horizontal/>
      </border>
    </dxf>
    <dxf>
      <font>
        <color rgb="FFF0F9FA"/>
      </font>
      <numFmt numFmtId="171" formatCode=";;;"/>
      <fill>
        <patternFill>
          <bgColor rgb="FFF0F9FA"/>
        </patternFill>
      </fill>
      <border>
        <left/>
        <right/>
        <top/>
        <bottom/>
        <vertical/>
        <horizontal/>
      </border>
    </dxf>
    <dxf>
      <font>
        <color rgb="FFC00000"/>
      </font>
      <fill>
        <patternFill>
          <bgColor rgb="FFFEF2CD"/>
        </patternFill>
      </fill>
    </dxf>
  </dxfs>
  <tableStyles count="0" defaultTableStyle="TableStyleMedium2" defaultPivotStyle="PivotStyleLight16"/>
  <colors>
    <mruColors>
      <color rgb="FF004064"/>
      <color rgb="FFFFF9E6"/>
      <color rgb="FFF2F4F7"/>
      <color rgb="FFF0F9FA"/>
      <color rgb="FF206166"/>
      <color rgb="FF2E929A"/>
      <color rgb="FFDAF1F3"/>
      <color rgb="FFFEF2CD"/>
      <color rgb="FF8ED7DD"/>
      <color rgb="FFE8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User Inputs'!A1"/><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1</xdr:row>
      <xdr:rowOff>1554480</xdr:rowOff>
    </xdr:to>
    <xdr:sp macro="" textlink="">
      <xdr:nvSpPr>
        <xdr:cNvPr id="8" name="TextBox 7">
          <a:extLst>
            <a:ext uri="{FF2B5EF4-FFF2-40B4-BE49-F238E27FC236}">
              <a16:creationId xmlns:a16="http://schemas.microsoft.com/office/drawing/2014/main" id="{AC1A53C6-C667-48C9-9B01-21E16C03585E}"/>
            </a:ext>
          </a:extLst>
        </xdr:cNvPr>
        <xdr:cNvSpPr txBox="1"/>
      </xdr:nvSpPr>
      <xdr:spPr>
        <a:xfrm>
          <a:off x="0" y="190500"/>
          <a:ext cx="14963775" cy="1554480"/>
        </a:xfrm>
        <a:prstGeom prst="rect">
          <a:avLst/>
        </a:prstGeom>
        <a:solidFill>
          <a:srgbClr val="8ED7D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Megawatts for Maryland FY27  </a:t>
          </a:r>
          <a:br>
            <a:rPr lang="en-US" sz="27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MEA Project Financial Model</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v.1.000</a:t>
          </a:r>
          <a:endParaRPr lang="en-US" sz="2000">
            <a:effectLst/>
            <a:latin typeface="Aptos Light" panose="020B0004020202020204" pitchFamily="34" charset="0"/>
          </a:endParaRPr>
        </a:p>
      </xdr:txBody>
    </xdr:sp>
    <xdr:clientData/>
  </xdr:twoCellAnchor>
  <xdr:twoCellAnchor>
    <xdr:from>
      <xdr:col>2</xdr:col>
      <xdr:colOff>7758543</xdr:colOff>
      <xdr:row>1</xdr:row>
      <xdr:rowOff>274100</xdr:rowOff>
    </xdr:from>
    <xdr:to>
      <xdr:col>3</xdr:col>
      <xdr:colOff>2545</xdr:colOff>
      <xdr:row>3</xdr:row>
      <xdr:rowOff>28576</xdr:rowOff>
    </xdr:to>
    <xdr:grpSp>
      <xdr:nvGrpSpPr>
        <xdr:cNvPr id="29" name="Group 3">
          <a:extLst>
            <a:ext uri="{FF2B5EF4-FFF2-40B4-BE49-F238E27FC236}">
              <a16:creationId xmlns:a16="http://schemas.microsoft.com/office/drawing/2014/main" id="{BA60DBBE-E89F-4F1B-93F4-E2C84E34F648}"/>
            </a:ext>
          </a:extLst>
        </xdr:cNvPr>
        <xdr:cNvGrpSpPr/>
      </xdr:nvGrpSpPr>
      <xdr:grpSpPr>
        <a:xfrm>
          <a:off x="13654518" y="464600"/>
          <a:ext cx="2026177" cy="2173826"/>
          <a:chOff x="15681325" y="123825"/>
          <a:chExt cx="1764223" cy="1847851"/>
        </a:xfrm>
        <a:solidFill>
          <a:srgbClr val="8ED7DD"/>
        </a:solidFill>
      </xdr:grpSpPr>
      <xdr:sp macro="" textlink="">
        <xdr:nvSpPr>
          <xdr:cNvPr id="30" name="Flowchart: Delay 4">
            <a:extLst>
              <a:ext uri="{FF2B5EF4-FFF2-40B4-BE49-F238E27FC236}">
                <a16:creationId xmlns:a16="http://schemas.microsoft.com/office/drawing/2014/main" id="{4076B13F-59F4-E4D5-A4A0-97C0B74FAF97}"/>
              </a:ext>
            </a:extLst>
          </xdr:cNvPr>
          <xdr:cNvSpPr/>
        </xdr:nvSpPr>
        <xdr:spPr>
          <a:xfrm flipH="1">
            <a:off x="15681325" y="123825"/>
            <a:ext cx="1762124" cy="1847851"/>
          </a:xfrm>
          <a:prstGeom prst="flowChartDelay">
            <a:avLst/>
          </a:prstGeom>
          <a:gr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31" name="Group 17">
            <a:extLst>
              <a:ext uri="{FF2B5EF4-FFF2-40B4-BE49-F238E27FC236}">
                <a16:creationId xmlns:a16="http://schemas.microsoft.com/office/drawing/2014/main" id="{C093C63A-0636-DCDD-1C97-DDFCA81E8C9D}"/>
              </a:ext>
            </a:extLst>
          </xdr:cNvPr>
          <xdr:cNvGrpSpPr/>
        </xdr:nvGrpSpPr>
        <xdr:grpSpPr>
          <a:xfrm>
            <a:off x="15982380" y="673293"/>
            <a:ext cx="1463168" cy="1101787"/>
            <a:chOff x="15731555" y="582372"/>
            <a:chExt cx="1463168" cy="1108818"/>
          </a:xfrm>
          <a:grpFill/>
        </xdr:grpSpPr>
        <xdr:sp macro="" textlink="">
          <xdr:nvSpPr>
            <xdr:cNvPr id="32" name="TextBox 11">
              <a:extLst>
                <a:ext uri="{FF2B5EF4-FFF2-40B4-BE49-F238E27FC236}">
                  <a16:creationId xmlns:a16="http://schemas.microsoft.com/office/drawing/2014/main" id="{73D05432-A02E-BCEA-BD6A-B76D2F208F18}"/>
                </a:ext>
              </a:extLst>
            </xdr:cNvPr>
            <xdr:cNvSpPr txBox="1"/>
          </xdr:nvSpPr>
          <xdr:spPr>
            <a:xfrm>
              <a:off x="15731555" y="582372"/>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Developed by</a:t>
              </a:r>
            </a:p>
          </xdr:txBody>
        </xdr:sp>
        <xdr:pic>
          <xdr:nvPicPr>
            <xdr:cNvPr id="33" name="Picture 23">
              <a:extLst>
                <a:ext uri="{FF2B5EF4-FFF2-40B4-BE49-F238E27FC236}">
                  <a16:creationId xmlns:a16="http://schemas.microsoft.com/office/drawing/2014/main" id="{8B42CA2E-BAA1-6B86-7DA5-373B3B10F8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77874" y="899672"/>
              <a:ext cx="750330" cy="791518"/>
            </a:xfrm>
            <a:prstGeom prst="rect">
              <a:avLst/>
            </a:prstGeom>
            <a:grpFill/>
          </xdr:spPr>
        </xdr:pic>
      </xdr:grpSp>
    </xdr:grpSp>
    <xdr:clientData/>
  </xdr:twoCellAnchor>
  <xdr:twoCellAnchor editAs="oneCell">
    <xdr:from>
      <xdr:col>2</xdr:col>
      <xdr:colOff>10312157</xdr:colOff>
      <xdr:row>0</xdr:row>
      <xdr:rowOff>91368</xdr:rowOff>
    </xdr:from>
    <xdr:to>
      <xdr:col>3</xdr:col>
      <xdr:colOff>20845</xdr:colOff>
      <xdr:row>1</xdr:row>
      <xdr:rowOff>745927</xdr:rowOff>
    </xdr:to>
    <xdr:pic>
      <xdr:nvPicPr>
        <xdr:cNvPr id="9" name="Picture 3">
          <a:hlinkClick xmlns:r="http://schemas.openxmlformats.org/officeDocument/2006/relationships" r:id="rId2"/>
          <a:extLst>
            <a:ext uri="{FF2B5EF4-FFF2-40B4-BE49-F238E27FC236}">
              <a16:creationId xmlns:a16="http://schemas.microsoft.com/office/drawing/2014/main" id="{F537E271-8DBE-4A73-AAE0-EBAAD93D18C0}"/>
            </a:ext>
            <a:ext uri="{147F2762-F138-4A5C-976F-8EAC2B608ADB}">
              <a16:predDERef xmlns:a16="http://schemas.microsoft.com/office/drawing/2014/main" pred="{9C5F9DAC-82C4-DEA5-B759-2FABFA6671B3}"/>
            </a:ext>
          </a:extLst>
        </xdr:cNvPr>
        <xdr:cNvPicPr>
          <a:picLocks noChangeAspect="1"/>
        </xdr:cNvPicPr>
      </xdr:nvPicPr>
      <xdr:blipFill>
        <a:blip xmlns:r="http://schemas.openxmlformats.org/officeDocument/2006/relationships" r:embed="rId3"/>
        <a:stretch>
          <a:fillRect/>
        </a:stretch>
      </xdr:blipFill>
      <xdr:spPr>
        <a:xfrm>
          <a:off x="14960357" y="91368"/>
          <a:ext cx="5848" cy="869824"/>
        </a:xfrm>
        <a:prstGeom prst="rect">
          <a:avLst/>
        </a:prstGeom>
        <a:effectLst>
          <a:reflection blurRad="6350" stA="50000" endA="300" endPos="55000" dir="5400000" sy="-100000" algn="bl" rotWithShape="0"/>
        </a:effectLst>
      </xdr:spPr>
    </xdr:pic>
    <xdr:clientData/>
  </xdr:twoCellAnchor>
  <xdr:twoCellAnchor editAs="oneCell">
    <xdr:from>
      <xdr:col>0</xdr:col>
      <xdr:colOff>363682</xdr:colOff>
      <xdr:row>1</xdr:row>
      <xdr:rowOff>1097640</xdr:rowOff>
    </xdr:from>
    <xdr:to>
      <xdr:col>1</xdr:col>
      <xdr:colOff>1068542</xdr:colOff>
      <xdr:row>2</xdr:row>
      <xdr:rowOff>398109</xdr:rowOff>
    </xdr:to>
    <xdr:pic>
      <xdr:nvPicPr>
        <xdr:cNvPr id="7" name="Picture 61" descr="Maryland energy administration logo featuring solar panel, building, maryland flag">
          <a:extLst>
            <a:ext uri="{FF2B5EF4-FFF2-40B4-BE49-F238E27FC236}">
              <a16:creationId xmlns:a16="http://schemas.microsoft.com/office/drawing/2014/main" id="{24CEA4C6-C3D5-43AC-8C95-786C4C6D07C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63682" y="1288140"/>
          <a:ext cx="4596602" cy="1277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117473</xdr:rowOff>
    </xdr:from>
    <xdr:to>
      <xdr:col>8</xdr:col>
      <xdr:colOff>9524</xdr:colOff>
      <xdr:row>1</xdr:row>
      <xdr:rowOff>1481453</xdr:rowOff>
    </xdr:to>
    <xdr:sp macro="" textlink="">
      <xdr:nvSpPr>
        <xdr:cNvPr id="6" name="TextBox 7">
          <a:extLst>
            <a:ext uri="{FF2B5EF4-FFF2-40B4-BE49-F238E27FC236}">
              <a16:creationId xmlns:a16="http://schemas.microsoft.com/office/drawing/2014/main" id="{7192082E-19BA-4A5A-A0D2-06C6A3ECFF37}"/>
            </a:ext>
          </a:extLst>
        </xdr:cNvPr>
        <xdr:cNvSpPr txBox="1"/>
      </xdr:nvSpPr>
      <xdr:spPr>
        <a:xfrm>
          <a:off x="0" y="117473"/>
          <a:ext cx="17632679" cy="1552575"/>
        </a:xfrm>
        <a:prstGeom prst="rect">
          <a:avLst/>
        </a:prstGeom>
        <a:solidFill>
          <a:srgbClr val="8ED7D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tx1">
                  <a:lumMod val="85000"/>
                  <a:lumOff val="15000"/>
                </a:schemeClr>
              </a:solidFill>
              <a:effectLst/>
              <a:latin typeface="Aptos" panose="020B0004020202020204" pitchFamily="34" charset="0"/>
              <a:ea typeface="+mn-ea"/>
              <a:cs typeface="+mn-cs"/>
            </a:rPr>
            <a:t>Megawatts for Maryland FY27  </a:t>
          </a:r>
          <a:br>
            <a:rPr lang="en-US" sz="2700" b="1" i="0" baseline="0">
              <a:solidFill>
                <a:schemeClr val="tx1">
                  <a:lumMod val="85000"/>
                  <a:lumOff val="15000"/>
                </a:schemeClr>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MEA Project Financial Model</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v.1.000</a:t>
          </a:r>
          <a:endParaRPr lang="en-US" sz="2000" b="1" i="0" baseline="0">
            <a:solidFill>
              <a:schemeClr val="dk1"/>
            </a:solidFill>
            <a:effectLst/>
            <a:latin typeface="Aptos Light" panose="020B0004020202020204" pitchFamily="34" charset="0"/>
            <a:ea typeface="+mn-ea"/>
            <a:cs typeface="+mn-cs"/>
          </a:endParaRPr>
        </a:p>
      </xdr:txBody>
    </xdr:sp>
    <xdr:clientData/>
  </xdr:twoCellAnchor>
  <xdr:twoCellAnchor editAs="oneCell">
    <xdr:from>
      <xdr:col>0</xdr:col>
      <xdr:colOff>166008</xdr:colOff>
      <xdr:row>1</xdr:row>
      <xdr:rowOff>1032603</xdr:rowOff>
    </xdr:from>
    <xdr:to>
      <xdr:col>2</xdr:col>
      <xdr:colOff>778420</xdr:colOff>
      <xdr:row>2</xdr:row>
      <xdr:rowOff>340067</xdr:rowOff>
    </xdr:to>
    <xdr:pic>
      <xdr:nvPicPr>
        <xdr:cNvPr id="33" name="Picture 61" descr="Maryland energy administration logo featuring solar panel, building, maryland flag">
          <a:extLst>
            <a:ext uri="{FF2B5EF4-FFF2-40B4-BE49-F238E27FC236}">
              <a16:creationId xmlns:a16="http://schemas.microsoft.com/office/drawing/2014/main" id="{96FC2816-6BB1-4FF4-B0A0-EC6981BA3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008" y="1223103"/>
          <a:ext cx="4127137" cy="1143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1401530</xdr:colOff>
      <xdr:row>1</xdr:row>
      <xdr:rowOff>258536</xdr:rowOff>
    </xdr:from>
    <xdr:to>
      <xdr:col>8</xdr:col>
      <xdr:colOff>7624</xdr:colOff>
      <xdr:row>2</xdr:row>
      <xdr:rowOff>545122</xdr:rowOff>
    </xdr:to>
    <xdr:grpSp>
      <xdr:nvGrpSpPr>
        <xdr:cNvPr id="44" name="Group 3">
          <a:extLst>
            <a:ext uri="{FF2B5EF4-FFF2-40B4-BE49-F238E27FC236}">
              <a16:creationId xmlns:a16="http://schemas.microsoft.com/office/drawing/2014/main" id="{2F1903DF-20CA-4395-BAC5-A7365D771717}"/>
            </a:ext>
          </a:extLst>
        </xdr:cNvPr>
        <xdr:cNvGrpSpPr/>
      </xdr:nvGrpSpPr>
      <xdr:grpSpPr>
        <a:xfrm>
          <a:off x="11974280" y="449036"/>
          <a:ext cx="2130344" cy="2124911"/>
          <a:chOff x="15681325" y="123825"/>
          <a:chExt cx="1762124" cy="1847851"/>
        </a:xfrm>
      </xdr:grpSpPr>
      <xdr:sp macro="" textlink="">
        <xdr:nvSpPr>
          <xdr:cNvPr id="45" name="Flowchart: Delay 4">
            <a:extLst>
              <a:ext uri="{FF2B5EF4-FFF2-40B4-BE49-F238E27FC236}">
                <a16:creationId xmlns:a16="http://schemas.microsoft.com/office/drawing/2014/main" id="{C7041BDA-625D-EC23-242E-0C59D398320F}"/>
              </a:ext>
            </a:extLst>
          </xdr:cNvPr>
          <xdr:cNvSpPr/>
        </xdr:nvSpPr>
        <xdr:spPr>
          <a:xfrm flipH="1">
            <a:off x="15681325" y="123825"/>
            <a:ext cx="1762124" cy="1847851"/>
          </a:xfrm>
          <a:prstGeom prst="flowChartDelay">
            <a:avLst/>
          </a:prstGeom>
          <a:solidFill>
            <a:srgbClr val="8ED7D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6" name="Group 17">
            <a:extLst>
              <a:ext uri="{FF2B5EF4-FFF2-40B4-BE49-F238E27FC236}">
                <a16:creationId xmlns:a16="http://schemas.microsoft.com/office/drawing/2014/main" id="{83FE2033-E72D-5518-ED18-1D3D733F3589}"/>
              </a:ext>
            </a:extLst>
          </xdr:cNvPr>
          <xdr:cNvGrpSpPr/>
        </xdr:nvGrpSpPr>
        <xdr:grpSpPr>
          <a:xfrm>
            <a:off x="15918644" y="710651"/>
            <a:ext cx="1463168" cy="1058893"/>
            <a:chOff x="15667819" y="619970"/>
            <a:chExt cx="1463168" cy="1065651"/>
          </a:xfrm>
        </xdr:grpSpPr>
        <xdr:sp macro="" textlink="">
          <xdr:nvSpPr>
            <xdr:cNvPr id="47" name="TextBox 11">
              <a:extLst>
                <a:ext uri="{FF2B5EF4-FFF2-40B4-BE49-F238E27FC236}">
                  <a16:creationId xmlns:a16="http://schemas.microsoft.com/office/drawing/2014/main" id="{D9AAE3D5-F14B-EEF5-D422-842B34AF6BFA}"/>
                </a:ext>
              </a:extLst>
            </xdr:cNvPr>
            <xdr:cNvSpPr txBox="1"/>
          </xdr:nvSpPr>
          <xdr:spPr>
            <a:xfrm>
              <a:off x="15667819" y="619970"/>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Developed by</a:t>
              </a:r>
            </a:p>
          </xdr:txBody>
        </xdr:sp>
        <xdr:pic>
          <xdr:nvPicPr>
            <xdr:cNvPr id="48" name="Picture 23">
              <a:extLst>
                <a:ext uri="{FF2B5EF4-FFF2-40B4-BE49-F238E27FC236}">
                  <a16:creationId xmlns:a16="http://schemas.microsoft.com/office/drawing/2014/main" id="{DCF5FE44-7D66-2157-7FAA-9A6E7B6C6F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23759" y="911189"/>
              <a:ext cx="723938" cy="774432"/>
            </a:xfrm>
            <a:prstGeom prst="rect">
              <a:avLst/>
            </a:prstGeom>
          </xdr:spPr>
        </xdr:pic>
      </xdr:grp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6</xdr:col>
      <xdr:colOff>914400</xdr:colOff>
      <xdr:row>47</xdr:row>
      <xdr:rowOff>38100</xdr:rowOff>
    </xdr:to>
    <xdr:sp macro="" textlink="">
      <xdr:nvSpPr>
        <xdr:cNvPr id="3" name="Text Box 2" hidden="1">
          <a:extLst>
            <a:ext uri="{FF2B5EF4-FFF2-40B4-BE49-F238E27FC236}">
              <a16:creationId xmlns:a16="http://schemas.microsoft.com/office/drawing/2014/main" id="{B40D43AF-8EC6-8A26-FA4B-9565C7825747}"/>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1</xdr:col>
      <xdr:colOff>690562</xdr:colOff>
      <xdr:row>1</xdr:row>
      <xdr:rowOff>35720</xdr:rowOff>
    </xdr:from>
    <xdr:to>
      <xdr:col>12</xdr:col>
      <xdr:colOff>95250</xdr:colOff>
      <xdr:row>1</xdr:row>
      <xdr:rowOff>1678781</xdr:rowOff>
    </xdr:to>
    <xdr:sp macro="" textlink="">
      <xdr:nvSpPr>
        <xdr:cNvPr id="7" name="TextBox 7">
          <a:extLst>
            <a:ext uri="{FF2B5EF4-FFF2-40B4-BE49-F238E27FC236}">
              <a16:creationId xmlns:a16="http://schemas.microsoft.com/office/drawing/2014/main" id="{3F4A32DE-32B2-4CE2-A1F7-9FE7BB358C70}"/>
            </a:ext>
          </a:extLst>
        </xdr:cNvPr>
        <xdr:cNvSpPr txBox="1"/>
      </xdr:nvSpPr>
      <xdr:spPr>
        <a:xfrm>
          <a:off x="1095375" y="226220"/>
          <a:ext cx="13382625" cy="1643061"/>
        </a:xfrm>
        <a:prstGeom prst="rect">
          <a:avLst/>
        </a:prstGeom>
        <a:solidFill>
          <a:srgbClr val="8ED7D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tx1">
                  <a:lumMod val="85000"/>
                  <a:lumOff val="15000"/>
                </a:schemeClr>
              </a:solidFill>
              <a:effectLst/>
              <a:latin typeface="Aptos" panose="020B0004020202020204" pitchFamily="34" charset="0"/>
              <a:ea typeface="+mn-ea"/>
              <a:cs typeface="+mn-cs"/>
            </a:rPr>
            <a:t>Megawatts for Maryland FY27  </a:t>
          </a:r>
          <a:br>
            <a:rPr lang="en-US" sz="2700" b="1" i="0" baseline="0">
              <a:solidFill>
                <a:schemeClr val="tx1">
                  <a:lumMod val="85000"/>
                  <a:lumOff val="15000"/>
                </a:schemeClr>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MEA Project Financial Model</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v.1.000</a:t>
          </a:r>
          <a:endParaRPr lang="en-US" sz="2000" b="1" i="0" baseline="0">
            <a:solidFill>
              <a:schemeClr val="dk1"/>
            </a:solidFill>
            <a:effectLst/>
            <a:latin typeface="Aptos Light" panose="020B0004020202020204" pitchFamily="34" charset="0"/>
            <a:ea typeface="+mn-ea"/>
            <a:cs typeface="+mn-cs"/>
          </a:endParaRPr>
        </a:p>
      </xdr:txBody>
    </xdr:sp>
    <xdr:clientData/>
  </xdr:twoCellAnchor>
  <xdr:twoCellAnchor editAs="oneCell">
    <xdr:from>
      <xdr:col>0</xdr:col>
      <xdr:colOff>23813</xdr:colOff>
      <xdr:row>1</xdr:row>
      <xdr:rowOff>892969</xdr:rowOff>
    </xdr:from>
    <xdr:to>
      <xdr:col>2</xdr:col>
      <xdr:colOff>722222</xdr:colOff>
      <xdr:row>2</xdr:row>
      <xdr:rowOff>326707</xdr:rowOff>
    </xdr:to>
    <xdr:pic>
      <xdr:nvPicPr>
        <xdr:cNvPr id="16" name="Picture 61" descr="Maryland energy administration logo featuring solar panel, building, maryland flag">
          <a:extLst>
            <a:ext uri="{FF2B5EF4-FFF2-40B4-BE49-F238E27FC236}">
              <a16:creationId xmlns:a16="http://schemas.microsoft.com/office/drawing/2014/main" id="{1FCCDD44-2390-4E6A-9158-65189B7CB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3" y="1083469"/>
          <a:ext cx="4150269" cy="1144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607217</xdr:colOff>
      <xdr:row>1</xdr:row>
      <xdr:rowOff>178592</xdr:rowOff>
    </xdr:from>
    <xdr:to>
      <xdr:col>11</xdr:col>
      <xdr:colOff>821531</xdr:colOff>
      <xdr:row>2</xdr:row>
      <xdr:rowOff>785811</xdr:rowOff>
    </xdr:to>
    <xdr:grpSp>
      <xdr:nvGrpSpPr>
        <xdr:cNvPr id="29" name="Group 28">
          <a:extLst>
            <a:ext uri="{FF2B5EF4-FFF2-40B4-BE49-F238E27FC236}">
              <a16:creationId xmlns:a16="http://schemas.microsoft.com/office/drawing/2014/main" id="{D41EBBA2-4B44-29D5-30CA-E42530F29E5D}"/>
            </a:ext>
          </a:extLst>
        </xdr:cNvPr>
        <xdr:cNvGrpSpPr/>
      </xdr:nvGrpSpPr>
      <xdr:grpSpPr>
        <a:xfrm>
          <a:off x="12580142" y="273842"/>
          <a:ext cx="2652714" cy="2321719"/>
          <a:chOff x="11346655" y="273842"/>
          <a:chExt cx="2643189" cy="2321719"/>
        </a:xfrm>
      </xdr:grpSpPr>
      <xdr:sp macro="" textlink="">
        <xdr:nvSpPr>
          <xdr:cNvPr id="28" name="Oval 27">
            <a:extLst>
              <a:ext uri="{FF2B5EF4-FFF2-40B4-BE49-F238E27FC236}">
                <a16:creationId xmlns:a16="http://schemas.microsoft.com/office/drawing/2014/main" id="{CFDBDA30-4227-364E-8A36-6CA3DC126ED7}"/>
              </a:ext>
            </a:extLst>
          </xdr:cNvPr>
          <xdr:cNvSpPr/>
        </xdr:nvSpPr>
        <xdr:spPr>
          <a:xfrm>
            <a:off x="11346655" y="273842"/>
            <a:ext cx="2643189" cy="2321719"/>
          </a:xfrm>
          <a:prstGeom prst="ellipse">
            <a:avLst/>
          </a:prstGeom>
          <a:solidFill>
            <a:srgbClr val="8ED7D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lang="en-US" sz="2700" b="0" i="0" baseline="0">
              <a:solidFill>
                <a:schemeClr val="tx1">
                  <a:lumMod val="85000"/>
                  <a:lumOff val="15000"/>
                </a:schemeClr>
              </a:solidFill>
              <a:effectLst/>
              <a:latin typeface="Aptos" panose="020B0004020202020204" pitchFamily="34" charset="0"/>
              <a:ea typeface="+mn-ea"/>
              <a:cs typeface="+mn-cs"/>
            </a:endParaRPr>
          </a:p>
        </xdr:txBody>
      </xdr:sp>
      <xdr:grpSp>
        <xdr:nvGrpSpPr>
          <xdr:cNvPr id="8" name="Group 17">
            <a:extLst>
              <a:ext uri="{FF2B5EF4-FFF2-40B4-BE49-F238E27FC236}">
                <a16:creationId xmlns:a16="http://schemas.microsoft.com/office/drawing/2014/main" id="{35637CD3-3040-329C-EE89-FF159D1D817C}"/>
              </a:ext>
            </a:extLst>
          </xdr:cNvPr>
          <xdr:cNvGrpSpPr/>
        </xdr:nvGrpSpPr>
        <xdr:grpSpPr>
          <a:xfrm>
            <a:off x="11748405" y="1042707"/>
            <a:ext cx="1780177" cy="1295447"/>
            <a:chOff x="18226783" y="525459"/>
            <a:chExt cx="1463168" cy="1134453"/>
          </a:xfrm>
        </xdr:grpSpPr>
        <xdr:sp macro="" textlink="">
          <xdr:nvSpPr>
            <xdr:cNvPr id="9" name="TextBox 11">
              <a:extLst>
                <a:ext uri="{FF2B5EF4-FFF2-40B4-BE49-F238E27FC236}">
                  <a16:creationId xmlns:a16="http://schemas.microsoft.com/office/drawing/2014/main" id="{A3E6AEF9-2F31-AE65-96DE-287EA95C371A}"/>
                </a:ext>
              </a:extLst>
            </xdr:cNvPr>
            <xdr:cNvSpPr txBox="1"/>
          </xdr:nvSpPr>
          <xdr:spPr>
            <a:xfrm>
              <a:off x="18226783" y="525459"/>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Developed by</a:t>
              </a:r>
            </a:p>
          </xdr:txBody>
        </xdr:sp>
        <xdr:pic>
          <xdr:nvPicPr>
            <xdr:cNvPr id="10" name="Picture 23">
              <a:extLst>
                <a:ext uri="{FF2B5EF4-FFF2-40B4-BE49-F238E27FC236}">
                  <a16:creationId xmlns:a16="http://schemas.microsoft.com/office/drawing/2014/main" id="{F53300F4-D84F-4401-74F0-195C100CFC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24935" y="879910"/>
              <a:ext cx="690614" cy="780002"/>
            </a:xfrm>
            <a:prstGeom prst="rect">
              <a:avLst/>
            </a:prstGeom>
          </xdr:spPr>
        </xdr:pic>
      </xdr:grp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18097</xdr:colOff>
      <xdr:row>1</xdr:row>
      <xdr:rowOff>20480</xdr:rowOff>
    </xdr:from>
    <xdr:to>
      <xdr:col>5</xdr:col>
      <xdr:colOff>944982</xdr:colOff>
      <xdr:row>1</xdr:row>
      <xdr:rowOff>1657977</xdr:rowOff>
    </xdr:to>
    <xdr:sp macro="" textlink="">
      <xdr:nvSpPr>
        <xdr:cNvPr id="6" name="TextBox 7">
          <a:extLst>
            <a:ext uri="{FF2B5EF4-FFF2-40B4-BE49-F238E27FC236}">
              <a16:creationId xmlns:a16="http://schemas.microsoft.com/office/drawing/2014/main" id="{3B0DADC6-EBF0-43F0-809D-3169A270C18C}"/>
            </a:ext>
          </a:extLst>
        </xdr:cNvPr>
        <xdr:cNvSpPr txBox="1"/>
      </xdr:nvSpPr>
      <xdr:spPr>
        <a:xfrm>
          <a:off x="18097" y="134780"/>
          <a:ext cx="10213760" cy="1637497"/>
        </a:xfrm>
        <a:prstGeom prst="rect">
          <a:avLst/>
        </a:prstGeom>
        <a:solidFill>
          <a:srgbClr val="8ED7D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tx1">
                  <a:lumMod val="85000"/>
                  <a:lumOff val="15000"/>
                </a:schemeClr>
              </a:solidFill>
              <a:effectLst/>
              <a:latin typeface="Aptos" panose="020B0004020202020204" pitchFamily="34" charset="0"/>
              <a:ea typeface="+mn-ea"/>
              <a:cs typeface="+mn-cs"/>
            </a:rPr>
            <a:t>Megawatts for Maryland FY27  </a:t>
          </a:r>
          <a:br>
            <a:rPr lang="en-US" sz="2700" b="1" i="0" baseline="0">
              <a:solidFill>
                <a:schemeClr val="tx1">
                  <a:lumMod val="85000"/>
                  <a:lumOff val="15000"/>
                </a:schemeClr>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MEA Project Financial Model</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v.1.000</a:t>
          </a:r>
          <a:endParaRPr lang="en-US" sz="2000" b="1" i="0" baseline="0">
            <a:solidFill>
              <a:schemeClr val="dk1"/>
            </a:solidFill>
            <a:effectLst/>
            <a:latin typeface="Aptos Light" panose="020B0004020202020204" pitchFamily="34" charset="0"/>
            <a:ea typeface="+mn-ea"/>
            <a:cs typeface="+mn-cs"/>
          </a:endParaRPr>
        </a:p>
      </xdr:txBody>
    </xdr:sp>
    <xdr:clientData/>
  </xdr:twoCellAnchor>
  <xdr:twoCellAnchor editAs="oneCell">
    <xdr:from>
      <xdr:col>0</xdr:col>
      <xdr:colOff>147638</xdr:colOff>
      <xdr:row>1</xdr:row>
      <xdr:rowOff>1133474</xdr:rowOff>
    </xdr:from>
    <xdr:to>
      <xdr:col>1</xdr:col>
      <xdr:colOff>2417374</xdr:colOff>
      <xdr:row>2</xdr:row>
      <xdr:rowOff>228599</xdr:rowOff>
    </xdr:to>
    <xdr:pic>
      <xdr:nvPicPr>
        <xdr:cNvPr id="11" name="Picture 61" descr="Maryland energy administration logo featuring solar panel, building, maryland flag">
          <a:extLst>
            <a:ext uri="{FF2B5EF4-FFF2-40B4-BE49-F238E27FC236}">
              <a16:creationId xmlns:a16="http://schemas.microsoft.com/office/drawing/2014/main" id="{8356E0F3-79AF-4BF0-AB45-3889DA0C9A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38" y="1323974"/>
          <a:ext cx="2645021"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866775</xdr:colOff>
      <xdr:row>1</xdr:row>
      <xdr:rowOff>600075</xdr:rowOff>
    </xdr:from>
    <xdr:to>
      <xdr:col>5</xdr:col>
      <xdr:colOff>995364</xdr:colOff>
      <xdr:row>2</xdr:row>
      <xdr:rowOff>616744</xdr:rowOff>
    </xdr:to>
    <xdr:grpSp>
      <xdr:nvGrpSpPr>
        <xdr:cNvPr id="43" name="Group 65">
          <a:extLst>
            <a:ext uri="{FF2B5EF4-FFF2-40B4-BE49-F238E27FC236}">
              <a16:creationId xmlns:a16="http://schemas.microsoft.com/office/drawing/2014/main" id="{8BF815F8-BCD6-490F-ABFB-26F3F217BFAB}"/>
            </a:ext>
          </a:extLst>
        </xdr:cNvPr>
        <xdr:cNvGrpSpPr/>
      </xdr:nvGrpSpPr>
      <xdr:grpSpPr>
        <a:xfrm>
          <a:off x="8401050" y="714375"/>
          <a:ext cx="1881189" cy="1731169"/>
          <a:chOff x="11346655" y="273842"/>
          <a:chExt cx="2643189" cy="2321719"/>
        </a:xfrm>
      </xdr:grpSpPr>
      <xdr:sp macro="" textlink="">
        <xdr:nvSpPr>
          <xdr:cNvPr id="44" name="Oval 66">
            <a:extLst>
              <a:ext uri="{FF2B5EF4-FFF2-40B4-BE49-F238E27FC236}">
                <a16:creationId xmlns:a16="http://schemas.microsoft.com/office/drawing/2014/main" id="{94757363-5929-443E-22F7-D7E9EF20DBCD}"/>
              </a:ext>
            </a:extLst>
          </xdr:cNvPr>
          <xdr:cNvSpPr/>
        </xdr:nvSpPr>
        <xdr:spPr>
          <a:xfrm>
            <a:off x="11346655" y="273842"/>
            <a:ext cx="2643189" cy="2321719"/>
          </a:xfrm>
          <a:prstGeom prst="ellipse">
            <a:avLst/>
          </a:prstGeom>
          <a:solidFill>
            <a:srgbClr val="8ED7D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lang="en-US" sz="1800" b="0" i="0" baseline="0">
              <a:solidFill>
                <a:schemeClr val="tx1">
                  <a:lumMod val="85000"/>
                  <a:lumOff val="15000"/>
                </a:schemeClr>
              </a:solidFill>
              <a:effectLst/>
              <a:latin typeface="Aptos" panose="020B0004020202020204" pitchFamily="34" charset="0"/>
              <a:ea typeface="+mn-ea"/>
              <a:cs typeface="+mn-cs"/>
            </a:endParaRPr>
          </a:p>
        </xdr:txBody>
      </xdr:sp>
      <xdr:grpSp>
        <xdr:nvGrpSpPr>
          <xdr:cNvPr id="45" name="Group 17">
            <a:extLst>
              <a:ext uri="{FF2B5EF4-FFF2-40B4-BE49-F238E27FC236}">
                <a16:creationId xmlns:a16="http://schemas.microsoft.com/office/drawing/2014/main" id="{415D50C1-9DE8-882E-126A-8048DB2F1067}"/>
              </a:ext>
            </a:extLst>
          </xdr:cNvPr>
          <xdr:cNvGrpSpPr/>
        </xdr:nvGrpSpPr>
        <xdr:grpSpPr>
          <a:xfrm>
            <a:off x="11788555" y="991610"/>
            <a:ext cx="1780177" cy="1295447"/>
            <a:chOff x="18259783" y="480712"/>
            <a:chExt cx="1463168" cy="1134453"/>
          </a:xfrm>
        </xdr:grpSpPr>
        <xdr:sp macro="" textlink="">
          <xdr:nvSpPr>
            <xdr:cNvPr id="46" name="TextBox 11">
              <a:extLst>
                <a:ext uri="{FF2B5EF4-FFF2-40B4-BE49-F238E27FC236}">
                  <a16:creationId xmlns:a16="http://schemas.microsoft.com/office/drawing/2014/main" id="{144F15C8-B45F-77DE-9C50-816E3E058C9C}"/>
                </a:ext>
              </a:extLst>
            </xdr:cNvPr>
            <xdr:cNvSpPr txBox="1"/>
          </xdr:nvSpPr>
          <xdr:spPr>
            <a:xfrm>
              <a:off x="18259783" y="480712"/>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0" i="1">
                  <a:solidFill>
                    <a:srgbClr val="EBF9F9"/>
                  </a:solidFill>
                  <a:latin typeface="Aptos" panose="020B0004020202020204" pitchFamily="34" charset="0"/>
                </a:rPr>
                <a:t>Developed by</a:t>
              </a:r>
            </a:p>
          </xdr:txBody>
        </xdr:sp>
        <xdr:pic>
          <xdr:nvPicPr>
            <xdr:cNvPr id="47" name="Picture 23">
              <a:extLst>
                <a:ext uri="{FF2B5EF4-FFF2-40B4-BE49-F238E27FC236}">
                  <a16:creationId xmlns:a16="http://schemas.microsoft.com/office/drawing/2014/main" id="{73B9D185-5A5E-B81E-A6A8-EBF49DA198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567573" y="835163"/>
              <a:ext cx="747974" cy="780002"/>
            </a:xfrm>
            <a:prstGeom prst="rect">
              <a:avLst/>
            </a:prstGeom>
          </xdr:spPr>
        </xdr:pic>
      </xdr:grp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14287</xdr:colOff>
      <xdr:row>1</xdr:row>
      <xdr:rowOff>16670</xdr:rowOff>
    </xdr:from>
    <xdr:to>
      <xdr:col>9</xdr:col>
      <xdr:colOff>5335</xdr:colOff>
      <xdr:row>2</xdr:row>
      <xdr:rowOff>419099</xdr:rowOff>
    </xdr:to>
    <xdr:grpSp>
      <xdr:nvGrpSpPr>
        <xdr:cNvPr id="17" name="Group 28">
          <a:extLst>
            <a:ext uri="{FF2B5EF4-FFF2-40B4-BE49-F238E27FC236}">
              <a16:creationId xmlns:a16="http://schemas.microsoft.com/office/drawing/2014/main" id="{A35393C0-7EB6-4D4F-A015-81C3AF870ACD}"/>
            </a:ext>
          </a:extLst>
        </xdr:cNvPr>
        <xdr:cNvGrpSpPr/>
      </xdr:nvGrpSpPr>
      <xdr:grpSpPr>
        <a:xfrm>
          <a:off x="509587" y="130970"/>
          <a:ext cx="9973248" cy="2116929"/>
          <a:chOff x="14287" y="207170"/>
          <a:chExt cx="9441241" cy="1576438"/>
        </a:xfrm>
      </xdr:grpSpPr>
      <xdr:sp macro="" textlink="">
        <xdr:nvSpPr>
          <xdr:cNvPr id="18" name="TextBox 7">
            <a:extLst>
              <a:ext uri="{FF2B5EF4-FFF2-40B4-BE49-F238E27FC236}">
                <a16:creationId xmlns:a16="http://schemas.microsoft.com/office/drawing/2014/main" id="{CD7C4502-FA4F-5130-DF31-A09080764E81}"/>
              </a:ext>
            </a:extLst>
          </xdr:cNvPr>
          <xdr:cNvSpPr txBox="1"/>
        </xdr:nvSpPr>
        <xdr:spPr>
          <a:xfrm>
            <a:off x="14287" y="207170"/>
            <a:ext cx="9436200" cy="1257248"/>
          </a:xfrm>
          <a:prstGeom prst="rect">
            <a:avLst/>
          </a:prstGeom>
          <a:solidFill>
            <a:srgbClr val="8ED7D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tx1">
                    <a:lumMod val="85000"/>
                    <a:lumOff val="15000"/>
                  </a:schemeClr>
                </a:solidFill>
                <a:effectLst/>
                <a:latin typeface="Aptos" panose="020B0004020202020204" pitchFamily="34" charset="0"/>
                <a:ea typeface="+mn-ea"/>
                <a:cs typeface="+mn-cs"/>
              </a:rPr>
              <a:t>Megawatts for Maryland FY27  </a:t>
            </a:r>
            <a:br>
              <a:rPr lang="en-US" sz="2700" b="1" i="0" baseline="0">
                <a:solidFill>
                  <a:schemeClr val="tx1">
                    <a:lumMod val="85000"/>
                    <a:lumOff val="15000"/>
                  </a:schemeClr>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MEA Project Financial Model</a:t>
            </a:r>
            <a:br>
              <a:rPr lang="en-US" sz="3200" b="1" i="0" baseline="0">
                <a:solidFill>
                  <a:schemeClr val="dk1"/>
                </a:solidFill>
                <a:effectLst/>
                <a:latin typeface="Aptos" panose="020B0004020202020204" pitchFamily="34" charset="0"/>
                <a:ea typeface="+mn-ea"/>
                <a:cs typeface="+mn-cs"/>
              </a:rPr>
            </a:br>
            <a:r>
              <a:rPr lang="en-US" sz="2000" b="0" i="0" baseline="0">
                <a:solidFill>
                  <a:schemeClr val="dk1"/>
                </a:solidFill>
                <a:effectLst/>
                <a:latin typeface="Aptos Light" panose="020B0004020202020204" pitchFamily="34" charset="0"/>
                <a:ea typeface="+mn-ea"/>
                <a:cs typeface="+mn-cs"/>
              </a:rPr>
              <a:t>v.1.000</a:t>
            </a:r>
            <a:endParaRPr lang="en-US" sz="2000" b="1" i="0" baseline="0">
              <a:solidFill>
                <a:schemeClr val="dk1"/>
              </a:solidFill>
              <a:effectLst/>
              <a:latin typeface="Aptos Light" panose="020B0004020202020204" pitchFamily="34" charset="0"/>
              <a:ea typeface="+mn-ea"/>
              <a:cs typeface="+mn-cs"/>
            </a:endParaRPr>
          </a:p>
        </xdr:txBody>
      </xdr:sp>
      <xdr:sp macro="" textlink="">
        <xdr:nvSpPr>
          <xdr:cNvPr id="19" name="Flowchart: Delay 4">
            <a:extLst>
              <a:ext uri="{FF2B5EF4-FFF2-40B4-BE49-F238E27FC236}">
                <a16:creationId xmlns:a16="http://schemas.microsoft.com/office/drawing/2014/main" id="{D45B320E-5BB4-0937-E5E3-3058CE3B7019}"/>
              </a:ext>
            </a:extLst>
          </xdr:cNvPr>
          <xdr:cNvSpPr/>
        </xdr:nvSpPr>
        <xdr:spPr>
          <a:xfrm flipH="1">
            <a:off x="8161561" y="464395"/>
            <a:ext cx="1293967" cy="1319213"/>
          </a:xfrm>
          <a:prstGeom prst="flowChartDelay">
            <a:avLst/>
          </a:prstGeom>
          <a:solidFill>
            <a:srgbClr val="8ED7D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33338</xdr:colOff>
      <xdr:row>1</xdr:row>
      <xdr:rowOff>1162049</xdr:rowOff>
    </xdr:from>
    <xdr:to>
      <xdr:col>2</xdr:col>
      <xdr:colOff>840034</xdr:colOff>
      <xdr:row>2</xdr:row>
      <xdr:rowOff>209550</xdr:rowOff>
    </xdr:to>
    <xdr:pic>
      <xdr:nvPicPr>
        <xdr:cNvPr id="11" name="Picture 61" descr="Maryland energy administration logo featuring solar panel, building, maryland flag">
          <a:extLst>
            <a:ext uri="{FF2B5EF4-FFF2-40B4-BE49-F238E27FC236}">
              <a16:creationId xmlns:a16="http://schemas.microsoft.com/office/drawing/2014/main" id="{792E7A96-7CEB-480B-A3B1-3FF54CF7E9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8" y="1276349"/>
          <a:ext cx="2645021" cy="7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638175</xdr:colOff>
      <xdr:row>1</xdr:row>
      <xdr:rowOff>1123950</xdr:rowOff>
    </xdr:from>
    <xdr:to>
      <xdr:col>9</xdr:col>
      <xdr:colOff>95249</xdr:colOff>
      <xdr:row>1</xdr:row>
      <xdr:rowOff>1476197</xdr:rowOff>
    </xdr:to>
    <xdr:sp macro="" textlink="">
      <xdr:nvSpPr>
        <xdr:cNvPr id="12" name="TextBox 11">
          <a:extLst>
            <a:ext uri="{FF2B5EF4-FFF2-40B4-BE49-F238E27FC236}">
              <a16:creationId xmlns:a16="http://schemas.microsoft.com/office/drawing/2014/main" id="{DC8628C0-4FA3-459B-8FC6-A4AC8B38594C}"/>
            </a:ext>
          </a:extLst>
        </xdr:cNvPr>
        <xdr:cNvSpPr txBox="1"/>
      </xdr:nvSpPr>
      <xdr:spPr>
        <a:xfrm>
          <a:off x="9315450" y="1238250"/>
          <a:ext cx="1276349" cy="3522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0" i="1">
              <a:solidFill>
                <a:srgbClr val="EBF9F9"/>
              </a:solidFill>
              <a:latin typeface="Aptos" panose="020B0004020202020204" pitchFamily="34" charset="0"/>
            </a:rPr>
            <a:t>Developed by</a:t>
          </a:r>
        </a:p>
      </xdr:txBody>
    </xdr:sp>
    <xdr:clientData/>
  </xdr:twoCellAnchor>
  <xdr:twoCellAnchor>
    <xdr:from>
      <xdr:col>8</xdr:col>
      <xdr:colOff>47625</xdr:colOff>
      <xdr:row>1</xdr:row>
      <xdr:rowOff>1452711</xdr:rowOff>
    </xdr:from>
    <xdr:to>
      <xdr:col>8</xdr:col>
      <xdr:colOff>573402</xdr:colOff>
      <xdr:row>2</xdr:row>
      <xdr:rowOff>291537</xdr:rowOff>
    </xdr:to>
    <xdr:pic>
      <xdr:nvPicPr>
        <xdr:cNvPr id="13" name="Picture 23">
          <a:extLst>
            <a:ext uri="{FF2B5EF4-FFF2-40B4-BE49-F238E27FC236}">
              <a16:creationId xmlns:a16="http://schemas.microsoft.com/office/drawing/2014/main" id="{358B4313-705E-44F6-8815-A5D9E83892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58350" y="1567011"/>
          <a:ext cx="525777" cy="553326"/>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F2222-7079-456E-847D-F9FDF065FBD9}">
  <sheetPr>
    <tabColor rgb="FF8ED7DD"/>
  </sheetPr>
  <dimension ref="A1:I124"/>
  <sheetViews>
    <sheetView showGridLines="0" topLeftCell="A13" zoomScale="70" zoomScaleNormal="70" workbookViewId="0">
      <selection activeCell="G18" sqref="G18"/>
    </sheetView>
  </sheetViews>
  <sheetFormatPr defaultColWidth="8.625" defaultRowHeight="12.95"/>
  <cols>
    <col min="1" max="1" width="50.875" style="4" bestFit="1" customWidth="1"/>
    <col min="2" max="2" width="26.5" style="4" bestFit="1" customWidth="1"/>
    <col min="3" max="3" width="128.375" style="4" customWidth="1"/>
    <col min="4" max="16384" width="8.625" style="4"/>
  </cols>
  <sheetData>
    <row r="1" spans="1:9" ht="15" customHeight="1">
      <c r="A1" s="1"/>
      <c r="B1" s="2"/>
      <c r="C1" s="3"/>
    </row>
    <row r="2" spans="1:9" ht="156.6" customHeight="1">
      <c r="A2" s="53"/>
      <c r="B2" s="54"/>
      <c r="C2" s="55"/>
    </row>
    <row r="3" spans="1:9" s="6" customFormat="1" ht="34.5">
      <c r="A3" s="382" t="s">
        <v>0</v>
      </c>
      <c r="B3" s="383"/>
      <c r="C3" s="384"/>
      <c r="D3" s="4"/>
      <c r="E3" s="4"/>
      <c r="F3" s="4"/>
      <c r="G3" s="4"/>
      <c r="H3" s="4"/>
      <c r="I3" s="4"/>
    </row>
    <row r="4" spans="1:9" ht="156.75" customHeight="1">
      <c r="A4" s="379" t="s">
        <v>1</v>
      </c>
      <c r="B4" s="380"/>
      <c r="C4" s="381"/>
    </row>
    <row r="6" spans="1:9" ht="23.45">
      <c r="A6" s="56"/>
      <c r="B6" s="57"/>
      <c r="C6" s="58" t="s">
        <v>2</v>
      </c>
    </row>
    <row r="7" spans="1:9" ht="23.45">
      <c r="A7" s="59"/>
      <c r="B7" s="60"/>
      <c r="C7" s="61" t="s">
        <v>3</v>
      </c>
    </row>
    <row r="8" spans="1:9" ht="21">
      <c r="A8" s="62" t="s">
        <v>4</v>
      </c>
      <c r="B8" s="63" t="s">
        <v>5</v>
      </c>
      <c r="C8" s="64" t="s">
        <v>6</v>
      </c>
    </row>
    <row r="9" spans="1:9" ht="57.75" customHeight="1">
      <c r="A9" s="65" t="s">
        <v>7</v>
      </c>
      <c r="B9" s="65" t="s">
        <v>8</v>
      </c>
      <c r="C9" s="66" t="s">
        <v>9</v>
      </c>
    </row>
    <row r="10" spans="1:9" ht="63" customHeight="1">
      <c r="A10" s="65" t="s">
        <v>10</v>
      </c>
      <c r="B10" s="65" t="s">
        <v>11</v>
      </c>
      <c r="C10" s="66" t="s">
        <v>12</v>
      </c>
    </row>
    <row r="11" spans="1:9" ht="84.6" customHeight="1">
      <c r="A11" s="65" t="s">
        <v>13</v>
      </c>
      <c r="B11" s="65" t="s">
        <v>14</v>
      </c>
      <c r="C11" s="66" t="s">
        <v>15</v>
      </c>
    </row>
    <row r="12" spans="1:9" ht="84.6" customHeight="1">
      <c r="A12" s="65" t="s">
        <v>16</v>
      </c>
      <c r="B12" s="65" t="s">
        <v>17</v>
      </c>
      <c r="C12" s="66" t="s">
        <v>18</v>
      </c>
    </row>
    <row r="13" spans="1:9" ht="84.6" customHeight="1">
      <c r="A13" s="67" t="s">
        <v>19</v>
      </c>
      <c r="B13" s="65" t="s">
        <v>14</v>
      </c>
      <c r="C13" s="68" t="s">
        <v>20</v>
      </c>
    </row>
    <row r="14" spans="1:9" ht="26.25" customHeight="1">
      <c r="A14" s="59"/>
      <c r="B14" s="60"/>
      <c r="C14" s="61" t="s">
        <v>21</v>
      </c>
    </row>
    <row r="15" spans="1:9" ht="23.45">
      <c r="A15" s="60"/>
      <c r="B15" s="60"/>
      <c r="C15" s="61" t="s">
        <v>22</v>
      </c>
    </row>
    <row r="16" spans="1:9" ht="84.6" customHeight="1">
      <c r="A16" s="65" t="s">
        <v>23</v>
      </c>
      <c r="B16" s="65" t="s">
        <v>14</v>
      </c>
      <c r="C16" s="66" t="s">
        <v>24</v>
      </c>
    </row>
    <row r="17" spans="1:3" ht="84.6" customHeight="1">
      <c r="A17" s="65" t="s">
        <v>25</v>
      </c>
      <c r="B17" s="65" t="s">
        <v>14</v>
      </c>
      <c r="C17" s="66" t="s">
        <v>26</v>
      </c>
    </row>
    <row r="18" spans="1:3" ht="84.6" customHeight="1">
      <c r="A18" s="65" t="s">
        <v>27</v>
      </c>
      <c r="B18" s="65" t="s">
        <v>17</v>
      </c>
      <c r="C18" s="66" t="s">
        <v>28</v>
      </c>
    </row>
    <row r="19" spans="1:3" ht="84.6" customHeight="1">
      <c r="A19" s="65" t="s">
        <v>29</v>
      </c>
      <c r="B19" s="65" t="s">
        <v>17</v>
      </c>
      <c r="C19" s="66" t="s">
        <v>30</v>
      </c>
    </row>
    <row r="20" spans="1:3" ht="70.349999999999994" customHeight="1">
      <c r="A20" s="65" t="s">
        <v>31</v>
      </c>
      <c r="B20" s="65" t="s">
        <v>32</v>
      </c>
      <c r="C20" s="66" t="s">
        <v>33</v>
      </c>
    </row>
    <row r="21" spans="1:3" ht="99" customHeight="1">
      <c r="A21" s="69" t="s">
        <v>34</v>
      </c>
      <c r="B21" s="69" t="s">
        <v>32</v>
      </c>
      <c r="C21" s="66" t="s">
        <v>35</v>
      </c>
    </row>
    <row r="22" spans="1:3" ht="99" customHeight="1">
      <c r="A22" s="65" t="s">
        <v>36</v>
      </c>
      <c r="B22" s="65" t="s">
        <v>37</v>
      </c>
      <c r="C22" s="66" t="s">
        <v>38</v>
      </c>
    </row>
    <row r="23" spans="1:3" ht="23.45">
      <c r="A23" s="70"/>
      <c r="B23" s="71"/>
      <c r="C23" s="72" t="s">
        <v>39</v>
      </c>
    </row>
    <row r="24" spans="1:3" ht="104.25" customHeight="1">
      <c r="A24" s="65" t="s">
        <v>40</v>
      </c>
      <c r="B24" s="73" t="s">
        <v>11</v>
      </c>
      <c r="C24" s="66" t="s">
        <v>41</v>
      </c>
    </row>
    <row r="25" spans="1:3" ht="78.599999999999994" customHeight="1">
      <c r="A25" s="67" t="s">
        <v>42</v>
      </c>
      <c r="B25" s="65" t="s">
        <v>17</v>
      </c>
      <c r="C25" s="66" t="s">
        <v>43</v>
      </c>
    </row>
    <row r="26" spans="1:3" ht="81" customHeight="1">
      <c r="A26" s="67" t="s">
        <v>44</v>
      </c>
      <c r="B26" s="65" t="s">
        <v>17</v>
      </c>
      <c r="C26" s="66" t="s">
        <v>45</v>
      </c>
    </row>
    <row r="27" spans="1:3" ht="23.45">
      <c r="A27" s="70"/>
      <c r="B27" s="71"/>
      <c r="C27" s="72" t="s">
        <v>46</v>
      </c>
    </row>
    <row r="28" spans="1:3" ht="82.35" customHeight="1">
      <c r="A28" s="69" t="s">
        <v>47</v>
      </c>
      <c r="B28" s="69" t="s">
        <v>48</v>
      </c>
      <c r="C28" s="66" t="s">
        <v>49</v>
      </c>
    </row>
    <row r="29" spans="1:3" ht="82.35" customHeight="1">
      <c r="A29" s="65" t="s">
        <v>50</v>
      </c>
      <c r="B29" s="73" t="s">
        <v>11</v>
      </c>
      <c r="C29" s="66" t="s">
        <v>51</v>
      </c>
    </row>
    <row r="30" spans="1:3" ht="82.35" customHeight="1">
      <c r="A30" s="65" t="s">
        <v>52</v>
      </c>
      <c r="B30" s="65" t="s">
        <v>17</v>
      </c>
      <c r="C30" s="66" t="s">
        <v>53</v>
      </c>
    </row>
    <row r="31" spans="1:3" ht="82.35" customHeight="1">
      <c r="A31" s="65" t="s">
        <v>54</v>
      </c>
      <c r="B31" s="65" t="s">
        <v>17</v>
      </c>
      <c r="C31" s="66" t="s">
        <v>55</v>
      </c>
    </row>
    <row r="32" spans="1:3" ht="82.35" customHeight="1">
      <c r="A32" s="65" t="s">
        <v>56</v>
      </c>
      <c r="B32" s="65" t="s">
        <v>17</v>
      </c>
      <c r="C32" s="66" t="s">
        <v>57</v>
      </c>
    </row>
    <row r="33" spans="1:3" ht="82.35" customHeight="1">
      <c r="A33" s="65" t="s">
        <v>58</v>
      </c>
      <c r="B33" s="65" t="s">
        <v>17</v>
      </c>
      <c r="C33" s="66" t="s">
        <v>59</v>
      </c>
    </row>
    <row r="34" spans="1:3" ht="106.5" customHeight="1">
      <c r="A34" s="67" t="s">
        <v>60</v>
      </c>
      <c r="B34" s="65" t="s">
        <v>37</v>
      </c>
      <c r="C34" s="68" t="s">
        <v>61</v>
      </c>
    </row>
    <row r="35" spans="1:3" ht="23.45">
      <c r="A35" s="74"/>
      <c r="B35" s="75"/>
      <c r="C35" s="76" t="s">
        <v>62</v>
      </c>
    </row>
    <row r="36" spans="1:3" ht="101.25" customHeight="1">
      <c r="A36" s="73" t="s">
        <v>63</v>
      </c>
      <c r="B36" s="73" t="s">
        <v>64</v>
      </c>
      <c r="C36" s="66" t="s">
        <v>65</v>
      </c>
    </row>
    <row r="37" spans="1:3" ht="23.45">
      <c r="A37" s="74"/>
      <c r="B37" s="75"/>
      <c r="C37" s="76" t="s">
        <v>66</v>
      </c>
    </row>
    <row r="38" spans="1:3" ht="84.6" customHeight="1">
      <c r="A38" s="65" t="s">
        <v>67</v>
      </c>
      <c r="B38" s="65" t="s">
        <v>32</v>
      </c>
      <c r="C38" s="66" t="s">
        <v>68</v>
      </c>
    </row>
    <row r="39" spans="1:3" ht="91.35" customHeight="1">
      <c r="A39" s="65" t="s">
        <v>69</v>
      </c>
      <c r="B39" s="65" t="s">
        <v>17</v>
      </c>
      <c r="C39" s="66" t="s">
        <v>70</v>
      </c>
    </row>
    <row r="40" spans="1:3" ht="92.1" customHeight="1">
      <c r="A40" s="65" t="s">
        <v>71</v>
      </c>
      <c r="B40" s="65" t="s">
        <v>17</v>
      </c>
      <c r="C40" s="66" t="s">
        <v>72</v>
      </c>
    </row>
    <row r="41" spans="1:3" ht="96" customHeight="1">
      <c r="A41" s="65" t="s">
        <v>73</v>
      </c>
      <c r="B41" s="65" t="s">
        <v>17</v>
      </c>
      <c r="C41" s="66" t="s">
        <v>74</v>
      </c>
    </row>
    <row r="42" spans="1:3" ht="100.5" customHeight="1">
      <c r="A42" s="65" t="s">
        <v>75</v>
      </c>
      <c r="B42" s="65" t="s">
        <v>17</v>
      </c>
      <c r="C42" s="66" t="s">
        <v>76</v>
      </c>
    </row>
    <row r="43" spans="1:3" ht="96.75" customHeight="1">
      <c r="A43" s="69" t="s">
        <v>77</v>
      </c>
      <c r="B43" s="69" t="s">
        <v>17</v>
      </c>
      <c r="C43" s="77" t="s">
        <v>78</v>
      </c>
    </row>
    <row r="44" spans="1:3" ht="95.25" customHeight="1">
      <c r="A44" s="65" t="s">
        <v>79</v>
      </c>
      <c r="B44" s="65" t="s">
        <v>17</v>
      </c>
      <c r="C44" s="66" t="s">
        <v>80</v>
      </c>
    </row>
    <row r="45" spans="1:3" ht="99.75" customHeight="1">
      <c r="A45" s="65" t="s">
        <v>81</v>
      </c>
      <c r="B45" s="65" t="s">
        <v>17</v>
      </c>
      <c r="C45" s="66" t="s">
        <v>82</v>
      </c>
    </row>
    <row r="46" spans="1:3" ht="84.6" customHeight="1">
      <c r="A46" s="65" t="s">
        <v>83</v>
      </c>
      <c r="B46" s="65" t="s">
        <v>17</v>
      </c>
      <c r="C46" s="66" t="s">
        <v>84</v>
      </c>
    </row>
    <row r="47" spans="1:3" ht="57.75" customHeight="1">
      <c r="A47" s="65" t="s">
        <v>85</v>
      </c>
      <c r="B47" s="65" t="s">
        <v>17</v>
      </c>
      <c r="C47" s="66" t="s">
        <v>86</v>
      </c>
    </row>
    <row r="48" spans="1:3" ht="23.45">
      <c r="A48" s="74"/>
      <c r="B48" s="75"/>
      <c r="C48" s="76" t="s">
        <v>87</v>
      </c>
    </row>
    <row r="49" spans="1:3" ht="98.1" customHeight="1">
      <c r="A49" s="65" t="s">
        <v>88</v>
      </c>
      <c r="B49" s="65" t="s">
        <v>17</v>
      </c>
      <c r="C49" s="66" t="s">
        <v>89</v>
      </c>
    </row>
    <row r="50" spans="1:3" ht="69.599999999999994" customHeight="1">
      <c r="A50" s="69" t="s">
        <v>90</v>
      </c>
      <c r="B50" s="69" t="s">
        <v>17</v>
      </c>
      <c r="C50" s="77" t="s">
        <v>91</v>
      </c>
    </row>
    <row r="51" spans="1:3" ht="67.5" customHeight="1">
      <c r="A51" s="65" t="s">
        <v>92</v>
      </c>
      <c r="B51" s="65" t="s">
        <v>17</v>
      </c>
      <c r="C51" s="66" t="s">
        <v>93</v>
      </c>
    </row>
    <row r="52" spans="1:3" ht="57.75" customHeight="1">
      <c r="A52" s="69" t="s">
        <v>94</v>
      </c>
      <c r="B52" s="65" t="s">
        <v>32</v>
      </c>
      <c r="C52" s="77" t="s">
        <v>95</v>
      </c>
    </row>
    <row r="53" spans="1:3" ht="108.6" customHeight="1">
      <c r="A53" s="65" t="s">
        <v>96</v>
      </c>
      <c r="B53" s="65" t="s">
        <v>17</v>
      </c>
      <c r="C53" s="66" t="s">
        <v>97</v>
      </c>
    </row>
    <row r="54" spans="1:3" ht="57.75" customHeight="1">
      <c r="A54" s="65" t="s">
        <v>98</v>
      </c>
      <c r="B54" s="65" t="s">
        <v>17</v>
      </c>
      <c r="C54" s="66" t="s">
        <v>99</v>
      </c>
    </row>
    <row r="55" spans="1:3" ht="57.75" customHeight="1">
      <c r="A55" s="65" t="s">
        <v>100</v>
      </c>
      <c r="B55" s="65" t="s">
        <v>17</v>
      </c>
      <c r="C55" s="66" t="s">
        <v>101</v>
      </c>
    </row>
    <row r="56" spans="1:3" ht="57.75" customHeight="1">
      <c r="A56" s="65" t="s">
        <v>102</v>
      </c>
      <c r="B56" s="65" t="s">
        <v>17</v>
      </c>
      <c r="C56" s="66" t="s">
        <v>103</v>
      </c>
    </row>
    <row r="57" spans="1:3" ht="57.75" customHeight="1">
      <c r="A57" s="69" t="s">
        <v>104</v>
      </c>
      <c r="B57" s="69" t="s">
        <v>17</v>
      </c>
      <c r="C57" s="77" t="s">
        <v>105</v>
      </c>
    </row>
    <row r="58" spans="1:3" ht="102.75" customHeight="1">
      <c r="A58" s="69" t="s">
        <v>106</v>
      </c>
      <c r="B58" s="69" t="s">
        <v>17</v>
      </c>
      <c r="C58" s="77" t="s">
        <v>107</v>
      </c>
    </row>
    <row r="59" spans="1:3" ht="23.45">
      <c r="A59" s="78"/>
      <c r="B59" s="79"/>
      <c r="C59" s="80" t="s">
        <v>108</v>
      </c>
    </row>
    <row r="60" spans="1:3" ht="107.45" customHeight="1">
      <c r="A60" s="65" t="s">
        <v>109</v>
      </c>
      <c r="B60" s="65" t="s">
        <v>32</v>
      </c>
      <c r="C60" s="66" t="s">
        <v>110</v>
      </c>
    </row>
    <row r="61" spans="1:3" ht="107.45" customHeight="1">
      <c r="A61" s="65" t="s">
        <v>111</v>
      </c>
      <c r="B61" s="65" t="s">
        <v>32</v>
      </c>
      <c r="C61" s="66" t="s">
        <v>112</v>
      </c>
    </row>
    <row r="62" spans="1:3" ht="55.35" customHeight="1">
      <c r="A62" s="65" t="s">
        <v>113</v>
      </c>
      <c r="B62" s="65" t="s">
        <v>17</v>
      </c>
      <c r="C62" s="66" t="s">
        <v>114</v>
      </c>
    </row>
    <row r="63" spans="1:3" ht="81.599999999999994" customHeight="1">
      <c r="A63" s="65" t="s">
        <v>115</v>
      </c>
      <c r="B63" s="65" t="s">
        <v>17</v>
      </c>
      <c r="C63" s="66" t="s">
        <v>116</v>
      </c>
    </row>
    <row r="64" spans="1:3" ht="80.099999999999994" customHeight="1">
      <c r="A64" s="65" t="s">
        <v>117</v>
      </c>
      <c r="B64" s="65" t="s">
        <v>17</v>
      </c>
      <c r="C64" s="66" t="s">
        <v>118</v>
      </c>
    </row>
    <row r="65" spans="1:3" ht="81.599999999999994" customHeight="1">
      <c r="A65" s="65" t="s">
        <v>119</v>
      </c>
      <c r="B65" s="65" t="s">
        <v>17</v>
      </c>
      <c r="C65" s="66" t="s">
        <v>120</v>
      </c>
    </row>
    <row r="66" spans="1:3" ht="76.349999999999994" customHeight="1">
      <c r="A66" s="65" t="s">
        <v>121</v>
      </c>
      <c r="B66" s="65" t="s">
        <v>17</v>
      </c>
      <c r="C66" s="66" t="s">
        <v>122</v>
      </c>
    </row>
    <row r="67" spans="1:3" ht="55.35" customHeight="1">
      <c r="A67" s="65" t="s">
        <v>123</v>
      </c>
      <c r="B67" s="65" t="s">
        <v>17</v>
      </c>
      <c r="C67" s="66" t="s">
        <v>124</v>
      </c>
    </row>
    <row r="68" spans="1:3" ht="55.35" customHeight="1">
      <c r="A68" s="69" t="s">
        <v>125</v>
      </c>
      <c r="B68" s="69" t="s">
        <v>14</v>
      </c>
      <c r="C68" s="77" t="s">
        <v>126</v>
      </c>
    </row>
    <row r="69" spans="1:3" ht="55.35" customHeight="1">
      <c r="A69" s="65" t="s">
        <v>127</v>
      </c>
      <c r="B69" s="65" t="s">
        <v>17</v>
      </c>
      <c r="C69" s="66" t="s">
        <v>128</v>
      </c>
    </row>
    <row r="70" spans="1:3" ht="55.35" customHeight="1">
      <c r="A70" s="65" t="s">
        <v>129</v>
      </c>
      <c r="B70" s="65" t="s">
        <v>17</v>
      </c>
      <c r="C70" s="66" t="s">
        <v>130</v>
      </c>
    </row>
    <row r="71" spans="1:3" ht="23.45">
      <c r="A71" s="74"/>
      <c r="B71" s="75"/>
      <c r="C71" s="76" t="s">
        <v>131</v>
      </c>
    </row>
    <row r="72" spans="1:3" ht="68.099999999999994" customHeight="1">
      <c r="A72" s="65" t="s">
        <v>132</v>
      </c>
      <c r="B72" s="65" t="s">
        <v>17</v>
      </c>
      <c r="C72" s="66" t="s">
        <v>133</v>
      </c>
    </row>
    <row r="73" spans="1:3" ht="55.35" customHeight="1">
      <c r="A73" s="65" t="s">
        <v>134</v>
      </c>
      <c r="B73" s="65" t="s">
        <v>17</v>
      </c>
      <c r="C73" s="66" t="s">
        <v>135</v>
      </c>
    </row>
    <row r="74" spans="1:3" ht="83.45" customHeight="1">
      <c r="A74" s="65" t="s">
        <v>136</v>
      </c>
      <c r="B74" s="65" t="s">
        <v>17</v>
      </c>
      <c r="C74" s="66" t="s">
        <v>137</v>
      </c>
    </row>
    <row r="75" spans="1:3" ht="65.849999999999994" customHeight="1">
      <c r="A75" s="65" t="s">
        <v>138</v>
      </c>
      <c r="B75" s="65" t="s">
        <v>17</v>
      </c>
      <c r="C75" s="66" t="s">
        <v>139</v>
      </c>
    </row>
    <row r="76" spans="1:3" ht="81.599999999999994" customHeight="1">
      <c r="A76" s="69" t="s">
        <v>140</v>
      </c>
      <c r="B76" s="69" t="s">
        <v>17</v>
      </c>
      <c r="C76" s="77" t="s">
        <v>141</v>
      </c>
    </row>
    <row r="77" spans="1:3" ht="63">
      <c r="A77" s="65" t="s">
        <v>142</v>
      </c>
      <c r="B77" s="65" t="s">
        <v>17</v>
      </c>
      <c r="C77" s="66" t="s">
        <v>143</v>
      </c>
    </row>
    <row r="78" spans="1:3" ht="81.599999999999994" customHeight="1">
      <c r="A78" s="65" t="s">
        <v>144</v>
      </c>
      <c r="B78" s="65" t="s">
        <v>17</v>
      </c>
      <c r="C78" s="66" t="s">
        <v>145</v>
      </c>
    </row>
    <row r="79" spans="1:3" ht="81.599999999999994" customHeight="1">
      <c r="A79" s="65" t="s">
        <v>146</v>
      </c>
      <c r="B79" s="65" t="s">
        <v>32</v>
      </c>
      <c r="C79" s="66" t="s">
        <v>147</v>
      </c>
    </row>
    <row r="80" spans="1:3" ht="81" customHeight="1">
      <c r="A80" s="65" t="s">
        <v>148</v>
      </c>
      <c r="B80" s="69" t="s">
        <v>14</v>
      </c>
      <c r="C80" s="66" t="s">
        <v>149</v>
      </c>
    </row>
    <row r="81" spans="1:3" ht="55.35" customHeight="1">
      <c r="A81" s="65" t="s">
        <v>150</v>
      </c>
      <c r="B81" s="65" t="s">
        <v>17</v>
      </c>
      <c r="C81" s="66" t="s">
        <v>151</v>
      </c>
    </row>
    <row r="82" spans="1:3" ht="81" customHeight="1">
      <c r="A82" s="65" t="s">
        <v>152</v>
      </c>
      <c r="B82" s="65" t="s">
        <v>17</v>
      </c>
      <c r="C82" s="66" t="s">
        <v>153</v>
      </c>
    </row>
    <row r="83" spans="1:3" ht="129.75" customHeight="1">
      <c r="A83" s="69" t="s">
        <v>154</v>
      </c>
      <c r="B83" s="69" t="s">
        <v>14</v>
      </c>
      <c r="C83" s="77" t="s">
        <v>155</v>
      </c>
    </row>
    <row r="84" spans="1:3" ht="135" customHeight="1">
      <c r="A84" s="65" t="s">
        <v>156</v>
      </c>
      <c r="B84" s="69" t="s">
        <v>14</v>
      </c>
      <c r="C84" s="66" t="s">
        <v>157</v>
      </c>
    </row>
    <row r="85" spans="1:3" ht="55.35" customHeight="1">
      <c r="A85" s="69" t="s">
        <v>158</v>
      </c>
      <c r="B85" s="69" t="s">
        <v>17</v>
      </c>
      <c r="C85" s="77" t="s">
        <v>159</v>
      </c>
    </row>
    <row r="86" spans="1:3" ht="55.35" customHeight="1">
      <c r="A86" s="65" t="s">
        <v>160</v>
      </c>
      <c r="B86" s="65" t="s">
        <v>17</v>
      </c>
      <c r="C86" s="66" t="s">
        <v>161</v>
      </c>
    </row>
    <row r="87" spans="1:3" ht="55.35" customHeight="1">
      <c r="A87" s="69" t="s">
        <v>162</v>
      </c>
      <c r="B87" s="69" t="s">
        <v>17</v>
      </c>
      <c r="C87" s="77" t="s">
        <v>163</v>
      </c>
    </row>
    <row r="88" spans="1:3" ht="55.35" customHeight="1">
      <c r="A88" s="69" t="s">
        <v>164</v>
      </c>
      <c r="B88" s="69" t="s">
        <v>17</v>
      </c>
      <c r="C88" s="77" t="s">
        <v>165</v>
      </c>
    </row>
    <row r="89" spans="1:3" ht="77.099999999999994" customHeight="1">
      <c r="A89" s="69" t="s">
        <v>166</v>
      </c>
      <c r="B89" s="69" t="s">
        <v>17</v>
      </c>
      <c r="C89" s="77" t="s">
        <v>167</v>
      </c>
    </row>
    <row r="90" spans="1:3" ht="65.25" customHeight="1">
      <c r="A90" s="65" t="s">
        <v>168</v>
      </c>
      <c r="B90" s="65" t="s">
        <v>17</v>
      </c>
      <c r="C90" s="66" t="s">
        <v>169</v>
      </c>
    </row>
    <row r="91" spans="1:3" ht="65.25" customHeight="1">
      <c r="A91" s="69" t="s">
        <v>170</v>
      </c>
      <c r="B91" s="69" t="s">
        <v>17</v>
      </c>
      <c r="C91" s="77" t="s">
        <v>171</v>
      </c>
    </row>
    <row r="92" spans="1:3" ht="63" customHeight="1">
      <c r="A92" s="69" t="s">
        <v>172</v>
      </c>
      <c r="B92" s="69" t="s">
        <v>14</v>
      </c>
      <c r="C92" s="77" t="s">
        <v>173</v>
      </c>
    </row>
    <row r="93" spans="1:3" ht="63" customHeight="1">
      <c r="A93" s="65" t="s">
        <v>174</v>
      </c>
      <c r="B93" s="65" t="s">
        <v>17</v>
      </c>
      <c r="C93" s="66" t="s">
        <v>175</v>
      </c>
    </row>
    <row r="94" spans="1:3" ht="63" customHeight="1">
      <c r="A94" s="65" t="s">
        <v>176</v>
      </c>
      <c r="B94" s="65" t="s">
        <v>17</v>
      </c>
      <c r="C94" s="66" t="s">
        <v>177</v>
      </c>
    </row>
    <row r="95" spans="1:3" ht="64.5" customHeight="1">
      <c r="A95" s="65" t="s">
        <v>178</v>
      </c>
      <c r="B95" s="65" t="s">
        <v>17</v>
      </c>
      <c r="C95" s="66" t="s">
        <v>179</v>
      </c>
    </row>
    <row r="96" spans="1:3" ht="64.5" customHeight="1">
      <c r="A96" s="69" t="s">
        <v>180</v>
      </c>
      <c r="B96" s="69" t="s">
        <v>17</v>
      </c>
      <c r="C96" s="77" t="s">
        <v>181</v>
      </c>
    </row>
    <row r="97" spans="1:3" ht="104.25" customHeight="1">
      <c r="A97" s="65" t="s">
        <v>182</v>
      </c>
      <c r="B97" s="65" t="s">
        <v>64</v>
      </c>
      <c r="C97" s="66" t="s">
        <v>183</v>
      </c>
    </row>
    <row r="98" spans="1:3" ht="84.6" customHeight="1">
      <c r="A98" s="69" t="s">
        <v>184</v>
      </c>
      <c r="B98" s="69" t="s">
        <v>64</v>
      </c>
      <c r="C98" s="77" t="s">
        <v>185</v>
      </c>
    </row>
    <row r="99" spans="1:3" ht="84.6" customHeight="1">
      <c r="A99" s="69" t="s">
        <v>186</v>
      </c>
      <c r="B99" s="69" t="s">
        <v>64</v>
      </c>
      <c r="C99" s="77" t="s">
        <v>187</v>
      </c>
    </row>
    <row r="100" spans="1:3" ht="23.45">
      <c r="A100" s="74"/>
      <c r="B100" s="75"/>
      <c r="C100" s="76" t="s">
        <v>188</v>
      </c>
    </row>
    <row r="101" spans="1:3" ht="84.6" customHeight="1">
      <c r="A101" s="65" t="s">
        <v>189</v>
      </c>
      <c r="B101" s="65" t="s">
        <v>64</v>
      </c>
      <c r="C101" s="66" t="s">
        <v>190</v>
      </c>
    </row>
    <row r="102" spans="1:3" ht="63">
      <c r="A102" s="65" t="s">
        <v>191</v>
      </c>
      <c r="B102" s="65" t="s">
        <v>64</v>
      </c>
      <c r="C102" s="66" t="s">
        <v>192</v>
      </c>
    </row>
    <row r="103" spans="1:3" ht="89.45" customHeight="1">
      <c r="A103" s="65" t="s">
        <v>193</v>
      </c>
      <c r="B103" s="65" t="s">
        <v>64</v>
      </c>
      <c r="C103" s="66" t="s">
        <v>194</v>
      </c>
    </row>
    <row r="104" spans="1:3" ht="84.6" customHeight="1">
      <c r="A104" s="65" t="s">
        <v>195</v>
      </c>
      <c r="B104" s="65" t="s">
        <v>64</v>
      </c>
      <c r="C104" s="66" t="s">
        <v>196</v>
      </c>
    </row>
    <row r="105" spans="1:3" ht="89.45" customHeight="1">
      <c r="A105" s="69" t="s">
        <v>197</v>
      </c>
      <c r="B105" s="65" t="s">
        <v>64</v>
      </c>
      <c r="C105" s="77" t="s">
        <v>198</v>
      </c>
    </row>
    <row r="106" spans="1:3" ht="89.45" customHeight="1">
      <c r="A106" s="65" t="s">
        <v>199</v>
      </c>
      <c r="B106" s="65" t="s">
        <v>64</v>
      </c>
      <c r="C106" s="66" t="s">
        <v>200</v>
      </c>
    </row>
    <row r="107" spans="1:3" ht="81" customHeight="1">
      <c r="A107" s="65" t="s">
        <v>201</v>
      </c>
      <c r="B107" s="65" t="s">
        <v>64</v>
      </c>
      <c r="C107" s="66" t="s">
        <v>202</v>
      </c>
    </row>
    <row r="108" spans="1:3" ht="83.45" customHeight="1">
      <c r="A108" s="65" t="s">
        <v>203</v>
      </c>
      <c r="B108" s="65" t="s">
        <v>64</v>
      </c>
      <c r="C108" s="66" t="s">
        <v>204</v>
      </c>
    </row>
    <row r="109" spans="1:3" ht="63">
      <c r="A109" s="65" t="s">
        <v>205</v>
      </c>
      <c r="B109" s="65" t="s">
        <v>64</v>
      </c>
      <c r="C109" s="66" t="s">
        <v>206</v>
      </c>
    </row>
    <row r="110" spans="1:3" ht="63">
      <c r="A110" s="65" t="s">
        <v>207</v>
      </c>
      <c r="B110" s="65" t="s">
        <v>64</v>
      </c>
      <c r="C110" s="66" t="s">
        <v>208</v>
      </c>
    </row>
    <row r="111" spans="1:3" ht="81.599999999999994" customHeight="1">
      <c r="A111" s="69" t="s">
        <v>209</v>
      </c>
      <c r="B111" s="65" t="s">
        <v>64</v>
      </c>
      <c r="C111" s="77" t="s">
        <v>210</v>
      </c>
    </row>
    <row r="112" spans="1:3" ht="87.6" customHeight="1">
      <c r="A112" s="81" t="s">
        <v>211</v>
      </c>
      <c r="B112" s="81" t="s">
        <v>64</v>
      </c>
      <c r="C112" s="82" t="s">
        <v>212</v>
      </c>
    </row>
    <row r="113" spans="1:3" ht="13.5" customHeight="1">
      <c r="A113" s="83"/>
      <c r="B113" s="83"/>
      <c r="C113" s="84"/>
    </row>
    <row r="114" spans="1:3" ht="23.45" customHeight="1">
      <c r="A114" s="85"/>
      <c r="B114" s="86"/>
      <c r="C114" s="87" t="s">
        <v>213</v>
      </c>
    </row>
    <row r="115" spans="1:3" ht="21" customHeight="1">
      <c r="A115" s="88"/>
      <c r="B115" s="89"/>
      <c r="C115" s="90" t="s">
        <v>214</v>
      </c>
    </row>
    <row r="116" spans="1:3" ht="13.5" customHeight="1">
      <c r="A116" s="91"/>
      <c r="B116" s="91"/>
      <c r="C116" s="92"/>
    </row>
    <row r="117" spans="1:3" ht="23.45">
      <c r="A117" s="56"/>
      <c r="B117" s="57"/>
      <c r="C117" s="93" t="s">
        <v>215</v>
      </c>
    </row>
    <row r="118" spans="1:3" ht="23.45">
      <c r="A118" s="88"/>
      <c r="B118" s="89"/>
      <c r="C118" s="90" t="s">
        <v>214</v>
      </c>
    </row>
    <row r="119" spans="1:3" ht="13.5" customHeight="1">
      <c r="A119" s="91"/>
      <c r="B119" s="91"/>
      <c r="C119" s="92"/>
    </row>
    <row r="120" spans="1:3" ht="23.45">
      <c r="A120" s="56"/>
      <c r="B120" s="57"/>
      <c r="C120" s="93" t="s">
        <v>216</v>
      </c>
    </row>
    <row r="121" spans="1:3" ht="23.45">
      <c r="A121" s="88"/>
      <c r="B121" s="94"/>
      <c r="C121" s="95" t="s">
        <v>214</v>
      </c>
    </row>
    <row r="122" spans="1:3" customFormat="1" ht="13.5" customHeight="1">
      <c r="A122" s="96"/>
      <c r="B122" s="97"/>
      <c r="C122" s="98"/>
    </row>
    <row r="123" spans="1:3" customFormat="1" ht="14.1">
      <c r="A123" s="99"/>
      <c r="B123" s="99"/>
      <c r="C123" s="99"/>
    </row>
    <row r="124" spans="1:3" customFormat="1" ht="14.1">
      <c r="A124" s="100"/>
      <c r="B124" s="100"/>
      <c r="C124" s="100"/>
    </row>
  </sheetData>
  <sheetProtection algorithmName="SHA-512" hashValue="ChV+bSuRyjEO5/Y2/9UZtEcjKhuxJ/i5u5cOkE8nfx1KLDZpHYnOf2lkxiCo+rdt+PHUIaqahlN/2qrrIZxaOA==" saltValue="axELY1K+Z+vyo7Fj3hsiTQ==" spinCount="100000" sheet="1" objects="1" scenarios="1"/>
  <mergeCells count="2">
    <mergeCell ref="A4:C4"/>
    <mergeCell ref="A3:C3"/>
  </mergeCells>
  <phoneticPr fontId="41" type="noConversion"/>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94262-B473-4F53-912E-A31E8F32259D}">
  <sheetPr>
    <tabColor rgb="FFFFC000"/>
    <pageSetUpPr autoPageBreaks="0"/>
  </sheetPr>
  <dimension ref="A1:P120"/>
  <sheetViews>
    <sheetView showGridLines="0" tabSelected="1" topLeftCell="A3" zoomScale="70" zoomScaleNormal="70" workbookViewId="0">
      <selection activeCell="E10" sqref="E10"/>
    </sheetView>
  </sheetViews>
  <sheetFormatPr defaultColWidth="8.125" defaultRowHeight="21"/>
  <cols>
    <col min="1" max="8" width="23.125" style="5" customWidth="1"/>
    <col min="9" max="9" width="14.125" style="5" customWidth="1"/>
    <col min="10" max="10" width="30.125" style="207" customWidth="1"/>
    <col min="11" max="17" width="14.125" style="5" customWidth="1"/>
    <col min="18" max="16384" width="8.125" style="5"/>
  </cols>
  <sheetData>
    <row r="1" spans="1:16" s="4" customFormat="1" ht="15" customHeight="1">
      <c r="A1" s="1"/>
      <c r="B1" s="2"/>
      <c r="C1" s="2"/>
      <c r="D1" s="2"/>
      <c r="E1" s="2"/>
      <c r="F1" s="2"/>
      <c r="G1" s="2"/>
      <c r="H1" s="3"/>
      <c r="J1" s="197"/>
    </row>
    <row r="2" spans="1:16" ht="144.75" customHeight="1">
      <c r="A2" s="198"/>
      <c r="B2" s="199"/>
      <c r="C2" s="199"/>
      <c r="D2" s="199"/>
      <c r="E2" s="199"/>
      <c r="F2" s="199"/>
      <c r="G2" s="199"/>
      <c r="H2" s="200"/>
      <c r="J2" s="201"/>
    </row>
    <row r="3" spans="1:16" s="6" customFormat="1" ht="106.5" customHeight="1">
      <c r="A3" s="366" t="s">
        <v>217</v>
      </c>
      <c r="B3" s="367"/>
      <c r="C3" s="367"/>
      <c r="D3" s="367"/>
      <c r="E3" s="367"/>
      <c r="F3" s="367"/>
      <c r="G3" s="367"/>
      <c r="H3" s="368"/>
      <c r="J3" s="202"/>
    </row>
    <row r="4" spans="1:16" ht="45" customHeight="1">
      <c r="A4" s="203" t="s">
        <v>218</v>
      </c>
      <c r="B4" s="204"/>
      <c r="C4" s="205"/>
      <c r="D4" s="204"/>
      <c r="E4" s="205"/>
      <c r="F4" s="204"/>
      <c r="G4" s="205"/>
      <c r="H4" s="206"/>
    </row>
    <row r="5" spans="1:16" ht="35.1" customHeight="1">
      <c r="A5" s="208" t="s">
        <v>219</v>
      </c>
      <c r="B5" s="209"/>
      <c r="C5" s="209"/>
      <c r="D5" s="209"/>
      <c r="E5" s="209"/>
      <c r="F5" s="209"/>
      <c r="G5" s="209"/>
      <c r="H5" s="210"/>
    </row>
    <row r="6" spans="1:16" ht="35.1" customHeight="1">
      <c r="A6" s="211" t="s">
        <v>220</v>
      </c>
      <c r="B6" s="212"/>
      <c r="C6" s="212"/>
      <c r="D6" s="212"/>
      <c r="E6" s="212"/>
      <c r="F6" s="212"/>
      <c r="G6" s="212"/>
      <c r="H6" s="213"/>
    </row>
    <row r="7" spans="1:16" ht="13.5" customHeight="1">
      <c r="A7" s="214"/>
      <c r="B7" s="215"/>
      <c r="C7" s="214"/>
      <c r="D7" s="215"/>
      <c r="E7" s="214"/>
      <c r="F7" s="215"/>
      <c r="G7" s="214"/>
      <c r="H7" s="216"/>
    </row>
    <row r="8" spans="1:16" ht="63.6" customHeight="1">
      <c r="A8" s="217" t="s">
        <v>221</v>
      </c>
      <c r="B8" s="28"/>
      <c r="C8" s="217" t="s">
        <v>222</v>
      </c>
      <c r="D8" s="28"/>
      <c r="E8" s="218" t="s">
        <v>223</v>
      </c>
      <c r="F8" s="41"/>
      <c r="G8" s="219" t="s">
        <v>224</v>
      </c>
      <c r="H8" s="42"/>
    </row>
    <row r="9" spans="1:16" ht="13.5" customHeight="1">
      <c r="A9" s="220"/>
      <c r="B9" s="221"/>
      <c r="C9" s="222"/>
      <c r="D9" s="223"/>
      <c r="E9" s="222"/>
      <c r="F9" s="223"/>
      <c r="G9" s="222"/>
      <c r="H9" s="224"/>
    </row>
    <row r="10" spans="1:16" ht="63.6" customHeight="1">
      <c r="A10" s="217" t="s">
        <v>225</v>
      </c>
      <c r="B10" s="28"/>
      <c r="C10" s="225"/>
      <c r="D10" s="97"/>
      <c r="E10" s="226"/>
      <c r="F10" s="97"/>
      <c r="G10" s="227"/>
      <c r="H10" s="228"/>
    </row>
    <row r="11" spans="1:16" ht="13.5" customHeight="1">
      <c r="A11" s="220"/>
      <c r="B11" s="221"/>
      <c r="C11" s="229"/>
      <c r="D11" s="230"/>
      <c r="E11" s="229"/>
      <c r="F11" s="230"/>
      <c r="G11" s="229"/>
      <c r="H11" s="231"/>
    </row>
    <row r="12" spans="1:16" ht="35.1" customHeight="1">
      <c r="A12" s="232" t="s">
        <v>226</v>
      </c>
      <c r="B12" s="233"/>
      <c r="C12" s="233"/>
      <c r="D12" s="233"/>
      <c r="E12" s="233"/>
      <c r="F12" s="233"/>
      <c r="G12" s="233"/>
      <c r="H12" s="234"/>
      <c r="P12" s="235"/>
    </row>
    <row r="13" spans="1:16" ht="35.1" customHeight="1">
      <c r="A13" s="211" t="s">
        <v>227</v>
      </c>
      <c r="B13" s="212"/>
      <c r="C13" s="212"/>
      <c r="D13" s="212"/>
      <c r="E13" s="212"/>
      <c r="F13" s="212"/>
      <c r="G13" s="212"/>
      <c r="H13" s="213"/>
      <c r="P13" s="235"/>
    </row>
    <row r="14" spans="1:16" ht="13.5" customHeight="1">
      <c r="A14" s="220"/>
      <c r="B14" s="221"/>
      <c r="C14" s="220"/>
      <c r="D14" s="221"/>
      <c r="E14" s="220"/>
      <c r="F14" s="221"/>
      <c r="G14" s="220"/>
      <c r="H14" s="236"/>
      <c r="P14" s="235"/>
    </row>
    <row r="15" spans="1:16" ht="21" customHeight="1">
      <c r="A15" s="211" t="str">
        <f>IF($F$8="","",IF($F$8="Tier 1 RE + Storage","For the Tier 1 RE project","For the "&amp;$F$8&amp;" project"))</f>
        <v/>
      </c>
      <c r="B15" s="211"/>
      <c r="C15" s="211"/>
      <c r="D15" s="211"/>
      <c r="E15" s="211"/>
      <c r="F15" s="211"/>
      <c r="G15" s="211"/>
      <c r="H15" s="237"/>
      <c r="P15" s="235"/>
    </row>
    <row r="16" spans="1:16" ht="13.5" customHeight="1">
      <c r="A16" s="238"/>
      <c r="B16" s="239"/>
      <c r="C16" s="240"/>
      <c r="D16" s="239"/>
      <c r="E16" s="241"/>
      <c r="F16" s="242"/>
      <c r="G16" s="241"/>
      <c r="H16" s="243"/>
      <c r="P16" s="235"/>
    </row>
    <row r="17" spans="1:11" ht="78" customHeight="1">
      <c r="A17" s="244" t="s">
        <v>228</v>
      </c>
      <c r="B17" s="29"/>
      <c r="C17" s="245" t="s">
        <v>229</v>
      </c>
      <c r="D17" s="29"/>
      <c r="E17" s="376" t="str">
        <f ca="1">IF(OR($F$8="",$B$17=""),"",IF(OR(AND(OR($F$8="Tier 1 RE",$F$8="Tier 1 RE + Storage"),$B$17="Battery Storage"),AND($F$8="Storage",$B$17&lt;&gt;"Battery Storage")),"⚠ Technology type in B17 does not match the project type selected in F8.",IF($D$17="","",IFERROR(IF(COUNTIF(INDIRECT(SUBSTITUTE(SUBSTITUTE($B$17," ","_"),"-","_")),$D$17)=0,"⚠ Select an applicable technology subtype in cell D17 from the dropdown menu.",""),""))))</f>
        <v/>
      </c>
      <c r="F17" s="377"/>
      <c r="G17" s="377"/>
      <c r="H17" s="378"/>
      <c r="J17" s="5"/>
    </row>
    <row r="18" spans="1:11" ht="13.5" customHeight="1">
      <c r="A18" s="238"/>
      <c r="B18" s="239"/>
      <c r="C18" s="240"/>
      <c r="D18" s="239"/>
      <c r="E18" s="246"/>
      <c r="F18" s="247"/>
      <c r="G18" s="246"/>
      <c r="H18" s="248"/>
      <c r="J18" s="5"/>
    </row>
    <row r="19" spans="1:11" ht="78" customHeight="1">
      <c r="A19" s="244" t="s">
        <v>230</v>
      </c>
      <c r="B19" s="43"/>
      <c r="C19" s="245" t="s">
        <v>231</v>
      </c>
      <c r="D19" s="44"/>
      <c r="E19" s="219" t="s">
        <v>232</v>
      </c>
      <c r="F19" s="249" t="str" cm="1">
        <f t="array" aca="1" ref="F19" ca="1">IF(OR($B$17="",$D$17="",
AND($F$8="Storage",$B$17&lt;&gt;"Battery Storage"),
AND(OR($F$8="Tier 1 RE",$F$8="TIER 1 RE + Storage"),$B$17="Battery Storage"),
NOT(OR($F$8="Storage",$F$8="Tier 1 RE",$F$8="TIER 1 RE + Storage"))),"",
IF(IFERROR(COUNTIF(INDIRECT(SUBSTITUTE(SUBSTITUTE($B$17," ","_"),"-","_")),$D$17),0)=0,"",
IF($D$17="Other",IF($D$23="","",$D$23),
IFERROR(_xlfn.SWITCH($B$17,
"Battery Storage",_xlfn.XLOOKUP($D$17,'Dev Notes'!$B$19:$B$25,'Dev Notes'!$C$19:$C$25,NA()),
"Solar PV",_xlfn.XLOOKUP($D$17,'Dev Notes'!$B$29:$B$35,'Dev Notes'!$C$29:$C$35,NA()),
"Wind",_xlfn.XLOOKUP($D$17,'Dev Notes'!$B$39:$B$41,'Dev Notes'!$C$39:$C$41,NA()),
"Hydro",_xlfn.XLOOKUP($D$17,'Dev Notes'!$B$45:$B$46,'Dev Notes'!$C$45:$C$46,NA()),
"Fuel Cell",_xlfn.XLOOKUP($D$17,'Dev Notes'!$B$49:$B$50,'Dev Notes'!$C$49:$C$50,NA()),
"Methane-from-Waste",_xlfn.XLOOKUP($D$17,'Dev Notes'!$B$53:$B$54,'Dev Notes'!$C$53:$C$54,NA()),
"Wastewater-to-Heat",_xlfn.XLOOKUP($D$17,'Dev Notes'!$B$57:$B$58,'Dev Notes'!$C$57:$C$58,NA()),
"Poultry Litter-to-Energy",_xlfn.XLOOKUP($D$17,'Dev Notes'!$B$61:$B$62,'Dev Notes'!$C$61:$C$62,NA()),
"Biomass",_xlfn.XLOOKUP($D$17,'Dev Notes'!$B$65:$B$66,'Dev Notes'!$C$65:$C$66,NA()),
"Geothermal",_xlfn.XLOOKUP($D$17,'Dev Notes'!$B$69:$B$70,'Dev Notes'!$C$69:$C$70,NA()),
"Ocean",_xlfn.XLOOKUP($D$17,'Dev Notes'!$B$73:$B$74,'Dev Notes'!$C$73:$C$74,NA()),
"Solar Thermal",_xlfn.XLOOKUP($D$17,'Dev Notes'!$B$77:$B$78,'Dev Notes'!$C$77:$C$78,NA()),
NA()),""))))</f>
        <v/>
      </c>
      <c r="G19" s="245" t="s">
        <v>233</v>
      </c>
      <c r="H19" s="250" t="str" cm="1">
        <f t="array" aca="1" ref="H19" ca="1">IF(OR($B$17="",$D$17="",
AND($F$8="Storage",$B$17&lt;&gt;"Battery Storage"),
AND(OR($F$8="Tier 1 RE",$F$8="TIER 1 RE + Storage"),$B$17="Battery Storage"),
NOT(OR($F$8="Storage",$F$8="Tier 1 RE",$F$8="TIER 1 RE + Storage"))),"",
IF(IFERROR(COUNTIF(INDIRECT(SUBSTITUTE(SUBSTITUTE($B$17," ","_"),"-","_")),$D$17),0)=0,"",
IF($D$17="Other",IF($F$23="","",$F$23),
IFERROR(_xlfn.SWITCH($B$17,
"Battery Storage",_xlfn.XLOOKUP($D$17,'Dev Notes'!$B$19:$B$24,'Dev Notes'!$D$19:$D$24,NA()),
"Solar PV",_xlfn.XLOOKUP($D$17,'Dev Notes'!$B$29:$B$34,'Dev Notes'!$D$29:$D$34,NA()),
"Wind",_xlfn.XLOOKUP($D$17,'Dev Notes'!$B$39:$B$40,'Dev Notes'!$D$39:$D$40,NA()),
"Hydro",IF($D$17='Dev Notes'!$B$45,'Dev Notes'!$D$45,NA()),
"Fuel Cell",IF($D$17='Dev Notes'!$B$49,'Dev Notes'!$D$49,NA()),
"Methane-from-Waste",IF($D$17='Dev Notes'!$B$53,'Dev Notes'!$D$53,NA()),
"Wastewater-to-Heat",IF($D$17='Dev Notes'!$B$57,'Dev Notes'!$D$57,NA()),
"Poultry Litter-to-Energy",IF($D$17='Dev Notes'!$B$61,'Dev Notes'!$D$61,NA()),
"Biomass",IF($D$17='Dev Notes'!$B$65,'Dev Notes'!$D$65,NA()),
"Geothermal",IF($D$17='Dev Notes'!$B$69,'Dev Notes'!$D$69,NA()),
"Ocean",IF($D$17='Dev Notes'!$B$73,'Dev Notes'!$D$73,NA()),
"Solar Thermal",IF($D$17='Dev Notes'!$B$77,'Dev Notes'!$D$77,NA()),
NA()),""))))</f>
        <v/>
      </c>
      <c r="J19" s="5"/>
    </row>
    <row r="20" spans="1:11" ht="13.5" customHeight="1">
      <c r="A20" s="238"/>
      <c r="B20" s="239"/>
      <c r="C20" s="240"/>
      <c r="D20" s="239"/>
      <c r="E20" s="240"/>
      <c r="F20" s="239"/>
      <c r="G20" s="240"/>
      <c r="H20" s="251"/>
      <c r="J20" s="5"/>
    </row>
    <row r="21" spans="1:11" ht="21" customHeight="1">
      <c r="A21" s="252" t="str">
        <f>IF($F$8="","",IF($F$8="Tier 1 RE + Storage","For the Tier 1 RE project, Technology Subtype 'Other' Only","For the "&amp;$F$8&amp;" project, Technology Subtype 'Other' Only"))</f>
        <v/>
      </c>
      <c r="B21" s="252"/>
      <c r="C21" s="252"/>
      <c r="D21" s="252"/>
      <c r="E21" s="252"/>
      <c r="F21" s="253"/>
      <c r="G21" s="254"/>
      <c r="H21" s="255"/>
      <c r="J21" s="5"/>
    </row>
    <row r="22" spans="1:11" ht="13.5" customHeight="1">
      <c r="A22" s="256"/>
      <c r="B22" s="215"/>
      <c r="C22" s="214"/>
      <c r="D22" s="215"/>
      <c r="E22" s="214"/>
      <c r="F22" s="257"/>
      <c r="G22" s="258"/>
      <c r="H22" s="259"/>
      <c r="J22" s="5"/>
    </row>
    <row r="23" spans="1:11" ht="80.099999999999994" customHeight="1">
      <c r="A23" s="217" t="s">
        <v>234</v>
      </c>
      <c r="B23" s="28"/>
      <c r="C23" s="217" t="s">
        <v>235</v>
      </c>
      <c r="D23" s="28"/>
      <c r="E23" s="260" t="s">
        <v>236</v>
      </c>
      <c r="F23" s="45"/>
      <c r="G23" s="261" t="s">
        <v>237</v>
      </c>
      <c r="H23" s="262" t="str">
        <f ca="1">IFERROR(_xlfn.LET(
_xlpm.Life,$F$19,
_xlpm.AnnualGen,$D$19,
_xlpm.Rate,$H$19,
IF(OR(
NOT(ISNUMBER(_xlpm.Life)),
NOT(ISNUMBER(_xlpm.AnnualGen)),
NOT(ISNUMBER(_xlpm.Rate))
),"",
IF(OR(
_xlpm.Life&lt;=0,
_xlpm.AnnualGen&lt;=0,
_xlpm.Rate&lt;0,
_xlpm.Rate&gt;=1
),"",
IF(_xlpm.Rate=0,
_xlpm.AnnualGen*_xlpm.Life,
_xlpm.AnnualGen*(1-(1-_xlpm.Rate)^_xlpm.Life)/_xlpm.Rate
)))
),"")</f>
        <v/>
      </c>
      <c r="J23" s="5"/>
    </row>
    <row r="24" spans="1:11" ht="13.5" customHeight="1">
      <c r="A24" s="256"/>
      <c r="B24" s="215"/>
      <c r="C24" s="214"/>
      <c r="D24" s="215"/>
      <c r="E24" s="214"/>
      <c r="F24" s="215"/>
      <c r="G24" s="214"/>
      <c r="H24" s="228"/>
      <c r="J24" s="5"/>
    </row>
    <row r="25" spans="1:11" ht="21" customHeight="1">
      <c r="A25" s="211" t="str">
        <f>IF($F$8="Tier 1 RE + Storage","For Co-located Storage Only",IF(OR($F$8="Tier 1 RE",$F$8="Storage"),"Scroll Below for Project Bid",""))</f>
        <v/>
      </c>
      <c r="B25" s="211"/>
      <c r="C25" s="211"/>
      <c r="D25" s="211"/>
      <c r="E25" s="211"/>
      <c r="F25" s="211"/>
      <c r="G25" s="211"/>
      <c r="H25" s="237"/>
      <c r="J25" s="5"/>
    </row>
    <row r="26" spans="1:11" ht="13.5" customHeight="1">
      <c r="A26" s="256"/>
      <c r="B26" s="215"/>
      <c r="C26" s="214"/>
      <c r="D26" s="215"/>
      <c r="E26" s="214"/>
      <c r="F26" s="215"/>
      <c r="G26" s="214"/>
      <c r="H26" s="228"/>
      <c r="J26" s="5"/>
    </row>
    <row r="27" spans="1:11" ht="73.349999999999994" customHeight="1">
      <c r="A27" s="263" t="s">
        <v>238</v>
      </c>
      <c r="B27" s="29"/>
      <c r="C27" s="264"/>
      <c r="D27" s="264"/>
      <c r="E27" s="264"/>
      <c r="F27" s="264"/>
      <c r="G27" s="264"/>
      <c r="H27" s="265"/>
      <c r="J27" s="5"/>
    </row>
    <row r="28" spans="1:11" ht="13.5" customHeight="1">
      <c r="A28" s="256"/>
      <c r="B28" s="215"/>
      <c r="C28" s="214"/>
      <c r="D28" s="215"/>
      <c r="E28" s="214"/>
      <c r="F28" s="215"/>
      <c r="G28" s="214"/>
      <c r="H28" s="228"/>
      <c r="K28" s="266"/>
    </row>
    <row r="29" spans="1:11" ht="74.45" customHeight="1">
      <c r="A29" s="245" t="s">
        <v>239</v>
      </c>
      <c r="B29" s="267" t="str">
        <f>IF(OR($B$27="",$B$27="Other"),"",IFERROR(_xlfn.XLOOKUP($B$27,'Dev Notes'!$B$19:$B$24,'Dev Notes'!$C$19:$C$24),""))</f>
        <v/>
      </c>
      <c r="C29" s="245" t="s">
        <v>240</v>
      </c>
      <c r="D29" s="268" t="str">
        <f>IF(OR($B$27="",$B$27="Other"),"",IFERROR(_xlfn.XLOOKUP($B$27,'Dev Notes'!$B$19:$B$24,'Dev Notes'!$D$19:$D$24),""))</f>
        <v/>
      </c>
      <c r="E29" s="245" t="s">
        <v>241</v>
      </c>
      <c r="F29" s="43"/>
      <c r="G29" s="245" t="s">
        <v>242</v>
      </c>
      <c r="H29" s="46"/>
      <c r="K29" s="266"/>
    </row>
    <row r="30" spans="1:11" ht="13.5" customHeight="1">
      <c r="A30" s="256"/>
      <c r="B30" s="215"/>
      <c r="C30" s="214"/>
      <c r="D30" s="215"/>
      <c r="E30" s="214"/>
      <c r="F30" s="215"/>
      <c r="G30" s="214"/>
      <c r="H30" s="228"/>
      <c r="K30" s="266"/>
    </row>
    <row r="31" spans="1:11" ht="74.45" customHeight="1">
      <c r="A31" s="245" t="s">
        <v>243</v>
      </c>
      <c r="B31" s="29"/>
      <c r="C31" s="245" t="s">
        <v>244</v>
      </c>
      <c r="D31" s="43"/>
      <c r="E31" s="245" t="s">
        <v>245</v>
      </c>
      <c r="F31" s="47"/>
      <c r="G31" s="245" t="s">
        <v>246</v>
      </c>
      <c r="H31" s="269" t="str">
        <f>IF($F$8&lt;&gt;"Tier 1 RE + Storage","",IF(OR($B$27="",$H$29=""),"",IFERROR(_xlfn.LET(_xlpm.Lifetime,IF($B$27="Other",$D$31,$B$29),_xlpm.Degradation,IF($B$27="Other",$F$31,$D$29),IF(OR(_xlpm.Lifetime="",_xlpm.Degradation=""),"",IF(_xlpm.Degradation=0,$H$29*_xlpm.Lifetime,$H$29*(1-(1-_xlpm.Degradation)^_xlpm.Lifetime)/_xlpm.Degradation))),"")))</f>
        <v/>
      </c>
      <c r="K31" s="266"/>
    </row>
    <row r="32" spans="1:11" ht="13.5" customHeight="1">
      <c r="A32" s="256"/>
      <c r="B32" s="215"/>
      <c r="C32" s="214"/>
      <c r="D32" s="215"/>
      <c r="E32" s="214"/>
      <c r="F32" s="215"/>
      <c r="G32" s="214"/>
      <c r="H32" s="228"/>
      <c r="K32" s="266"/>
    </row>
    <row r="33" spans="1:11" ht="21" customHeight="1">
      <c r="A33" s="252" t="s">
        <v>62</v>
      </c>
      <c r="B33" s="252"/>
      <c r="C33" s="252"/>
      <c r="D33" s="252"/>
      <c r="E33" s="252"/>
      <c r="F33" s="252"/>
      <c r="G33" s="252"/>
      <c r="H33" s="270"/>
      <c r="K33" s="266"/>
    </row>
    <row r="34" spans="1:11" ht="21" customHeight="1">
      <c r="A34" s="256"/>
      <c r="B34" s="215"/>
      <c r="C34" s="214"/>
      <c r="D34" s="215"/>
      <c r="E34" s="214"/>
      <c r="F34" s="215"/>
      <c r="G34" s="214"/>
      <c r="H34" s="228"/>
      <c r="K34" s="266"/>
    </row>
    <row r="35" spans="1:11" ht="98.1" customHeight="1">
      <c r="A35" s="271"/>
      <c r="B35" s="272"/>
      <c r="C35" s="272"/>
      <c r="D35" s="272"/>
      <c r="E35" s="272"/>
      <c r="F35" s="273"/>
      <c r="G35" s="274" t="s">
        <v>247</v>
      </c>
      <c r="H35" s="275" t="str">
        <f>IF($F$8="","",
IF($F$8="TIER 1 RE + Storage",
IF(OR($H$23="",$H$31=""),"",SUM($H$23,$H$31)),
IF(OR($F$8="Tier 1 RE",$F$8="Storage"),$H$23,"")))</f>
        <v/>
      </c>
      <c r="K35" s="266"/>
    </row>
    <row r="36" spans="1:11" ht="13.5" customHeight="1">
      <c r="A36" s="276"/>
      <c r="B36" s="277"/>
      <c r="C36" s="278"/>
      <c r="D36" s="9"/>
      <c r="E36" s="278"/>
      <c r="F36" s="277"/>
      <c r="G36" s="278"/>
      <c r="H36" s="10"/>
      <c r="K36" s="266"/>
    </row>
    <row r="37" spans="1:11" ht="45" customHeight="1">
      <c r="A37" s="203" t="s">
        <v>248</v>
      </c>
      <c r="B37" s="204"/>
      <c r="C37" s="205"/>
      <c r="D37" s="204"/>
      <c r="E37" s="205"/>
      <c r="F37" s="204"/>
      <c r="G37" s="205"/>
      <c r="H37" s="206"/>
      <c r="K37" s="266"/>
    </row>
    <row r="38" spans="1:11" ht="35.1" customHeight="1">
      <c r="A38" s="279" t="s">
        <v>249</v>
      </c>
      <c r="B38" s="280"/>
      <c r="C38" s="280"/>
      <c r="D38" s="281"/>
      <c r="E38" s="280"/>
      <c r="F38" s="280"/>
      <c r="G38" s="280"/>
      <c r="H38" s="282"/>
    </row>
    <row r="39" spans="1:11" ht="39.950000000000003" customHeight="1">
      <c r="A39" s="283" t="s">
        <v>250</v>
      </c>
      <c r="B39" s="284"/>
      <c r="C39" s="284"/>
      <c r="D39" s="284"/>
      <c r="E39" s="284"/>
      <c r="F39" s="284"/>
      <c r="G39" s="284"/>
      <c r="H39" s="285"/>
    </row>
    <row r="40" spans="1:11" ht="13.5" customHeight="1">
      <c r="A40" s="286"/>
      <c r="B40" s="239"/>
      <c r="C40" s="240"/>
      <c r="D40" s="11"/>
      <c r="E40" s="241"/>
      <c r="F40" s="242"/>
      <c r="G40" s="241"/>
      <c r="H40" s="23"/>
    </row>
    <row r="41" spans="1:11" ht="59.25" customHeight="1">
      <c r="A41" s="219" t="s">
        <v>251</v>
      </c>
      <c r="B41" s="287">
        <v>1.3</v>
      </c>
      <c r="C41" s="219" t="s">
        <v>252</v>
      </c>
      <c r="D41" s="29"/>
      <c r="E41" s="288" t="s">
        <v>253</v>
      </c>
      <c r="F41" s="29"/>
      <c r="G41" s="288" t="s">
        <v>254</v>
      </c>
      <c r="H41" s="36"/>
      <c r="J41" s="289"/>
    </row>
    <row r="42" spans="1:11" ht="13.5" customHeight="1">
      <c r="A42" s="286"/>
      <c r="B42" s="239"/>
      <c r="C42" s="240"/>
      <c r="D42" s="11"/>
      <c r="E42" s="214"/>
      <c r="F42" s="215"/>
      <c r="G42" s="214"/>
      <c r="H42" s="8"/>
      <c r="J42" s="289"/>
    </row>
    <row r="43" spans="1:11" ht="59.25" customHeight="1">
      <c r="A43" s="219" t="s">
        <v>255</v>
      </c>
      <c r="B43" s="49"/>
      <c r="C43" s="219" t="s">
        <v>256</v>
      </c>
      <c r="D43" s="29"/>
      <c r="E43" s="288" t="s">
        <v>257</v>
      </c>
      <c r="F43" s="31"/>
      <c r="G43" s="288" t="s">
        <v>258</v>
      </c>
      <c r="H43" s="30"/>
      <c r="J43" s="289"/>
    </row>
    <row r="44" spans="1:11" ht="13.5" customHeight="1">
      <c r="A44" s="286"/>
      <c r="B44" s="239"/>
      <c r="C44" s="241"/>
      <c r="D44" s="24"/>
      <c r="E44" s="214"/>
      <c r="F44" s="215"/>
      <c r="G44" s="214"/>
      <c r="H44" s="8"/>
      <c r="J44" s="289"/>
    </row>
    <row r="45" spans="1:11" ht="59.25" customHeight="1">
      <c r="A45" s="219" t="s">
        <v>259</v>
      </c>
      <c r="B45" s="49"/>
      <c r="C45" s="219" t="s">
        <v>260</v>
      </c>
      <c r="D45" s="34"/>
      <c r="E45" s="246"/>
      <c r="F45" s="246"/>
      <c r="G45" s="246"/>
      <c r="H45" s="290"/>
      <c r="J45" s="289"/>
    </row>
    <row r="46" spans="1:11" ht="13.5" customHeight="1">
      <c r="A46" s="286"/>
      <c r="B46" s="239"/>
      <c r="C46" s="240"/>
      <c r="D46" s="11"/>
      <c r="E46" s="240"/>
      <c r="F46" s="239"/>
      <c r="G46" s="240"/>
      <c r="H46" s="12"/>
    </row>
    <row r="47" spans="1:11" ht="35.1" customHeight="1">
      <c r="A47" s="279" t="s">
        <v>261</v>
      </c>
      <c r="B47" s="279"/>
      <c r="C47" s="291"/>
      <c r="D47" s="292"/>
      <c r="E47" s="291"/>
      <c r="F47" s="291"/>
      <c r="G47" s="291"/>
      <c r="H47" s="293"/>
    </row>
    <row r="48" spans="1:11" ht="35.1" customHeight="1">
      <c r="A48" s="283" t="s">
        <v>262</v>
      </c>
      <c r="B48" s="291"/>
      <c r="C48" s="284"/>
      <c r="D48" s="284"/>
      <c r="E48" s="284"/>
      <c r="F48" s="284"/>
      <c r="G48" s="284"/>
      <c r="H48" s="285"/>
    </row>
    <row r="49" spans="1:8" ht="13.5" customHeight="1">
      <c r="A49" s="286"/>
      <c r="B49" s="239"/>
      <c r="C49" s="240"/>
      <c r="D49" s="11"/>
      <c r="E49" s="240"/>
      <c r="F49" s="239"/>
      <c r="G49" s="240"/>
      <c r="H49" s="12"/>
    </row>
    <row r="50" spans="1:8" ht="54.95" customHeight="1">
      <c r="A50" s="294" t="s">
        <v>263</v>
      </c>
      <c r="B50" s="29"/>
      <c r="C50" s="295" t="s">
        <v>264</v>
      </c>
      <c r="D50" s="35"/>
      <c r="E50" s="296" t="s">
        <v>265</v>
      </c>
      <c r="F50" s="29"/>
      <c r="G50" s="295" t="s">
        <v>266</v>
      </c>
      <c r="H50" s="297">
        <v>0.02</v>
      </c>
    </row>
    <row r="51" spans="1:8" ht="13.5" customHeight="1">
      <c r="A51" s="286"/>
      <c r="B51" s="239"/>
      <c r="C51" s="240"/>
      <c r="D51" s="11"/>
      <c r="E51" s="240"/>
      <c r="F51" s="239"/>
      <c r="G51" s="240"/>
      <c r="H51" s="12"/>
    </row>
    <row r="52" spans="1:8" ht="25.35" customHeight="1">
      <c r="A52" s="298" t="s">
        <v>267</v>
      </c>
      <c r="B52" s="299"/>
      <c r="C52" s="299"/>
      <c r="D52" s="299"/>
      <c r="E52" s="299"/>
      <c r="F52" s="299"/>
      <c r="G52" s="299"/>
      <c r="H52" s="300"/>
    </row>
    <row r="53" spans="1:8" ht="52.35" customHeight="1">
      <c r="A53" s="283" t="s">
        <v>268</v>
      </c>
      <c r="B53" s="284"/>
      <c r="C53" s="284"/>
      <c r="D53" s="284"/>
      <c r="E53" s="284"/>
      <c r="F53" s="284"/>
      <c r="G53" s="284"/>
      <c r="H53" s="285"/>
    </row>
    <row r="54" spans="1:8" ht="25.35" customHeight="1">
      <c r="A54" s="369" t="s">
        <v>269</v>
      </c>
      <c r="B54" s="370"/>
      <c r="C54" s="371" t="s">
        <v>270</v>
      </c>
      <c r="D54" s="370"/>
      <c r="E54" s="372" t="s">
        <v>271</v>
      </c>
      <c r="F54" s="373"/>
      <c r="G54" s="374" t="s">
        <v>272</v>
      </c>
      <c r="H54" s="375"/>
    </row>
    <row r="55" spans="1:8" ht="25.35" customHeight="1">
      <c r="A55" s="364"/>
      <c r="B55" s="365"/>
      <c r="C55" s="358" t="str">
        <f t="shared" ref="C55:C63" si="0">IF(A55="","",IF(A56&lt;&gt;"",A56-1,$F$19))</f>
        <v/>
      </c>
      <c r="D55" s="359"/>
      <c r="E55" s="360"/>
      <c r="F55" s="361"/>
      <c r="G55" s="362" t="str">
        <f>IF($E55="","",1-$E55)</f>
        <v/>
      </c>
      <c r="H55" s="363"/>
    </row>
    <row r="56" spans="1:8" ht="25.35" customHeight="1">
      <c r="A56" s="356"/>
      <c r="B56" s="357"/>
      <c r="C56" s="358" t="str">
        <f t="shared" si="0"/>
        <v/>
      </c>
      <c r="D56" s="359"/>
      <c r="E56" s="360"/>
      <c r="F56" s="361"/>
      <c r="G56" s="362" t="str">
        <f t="shared" ref="G56:G64" si="1">IF($E56="","",1-$E56)</f>
        <v/>
      </c>
      <c r="H56" s="363"/>
    </row>
    <row r="57" spans="1:8" ht="25.35" customHeight="1">
      <c r="A57" s="356"/>
      <c r="B57" s="357"/>
      <c r="C57" s="358" t="str">
        <f t="shared" si="0"/>
        <v/>
      </c>
      <c r="D57" s="359"/>
      <c r="E57" s="360"/>
      <c r="F57" s="361"/>
      <c r="G57" s="362" t="str">
        <f t="shared" si="1"/>
        <v/>
      </c>
      <c r="H57" s="363"/>
    </row>
    <row r="58" spans="1:8" ht="25.35" customHeight="1">
      <c r="A58" s="356"/>
      <c r="B58" s="357"/>
      <c r="C58" s="358" t="str">
        <f t="shared" si="0"/>
        <v/>
      </c>
      <c r="D58" s="359"/>
      <c r="E58" s="360"/>
      <c r="F58" s="361"/>
      <c r="G58" s="362" t="str">
        <f t="shared" si="1"/>
        <v/>
      </c>
      <c r="H58" s="363"/>
    </row>
    <row r="59" spans="1:8" ht="25.35" customHeight="1">
      <c r="A59" s="356"/>
      <c r="B59" s="357"/>
      <c r="C59" s="358" t="str">
        <f t="shared" si="0"/>
        <v/>
      </c>
      <c r="D59" s="359"/>
      <c r="E59" s="360"/>
      <c r="F59" s="361"/>
      <c r="G59" s="362" t="str">
        <f t="shared" si="1"/>
        <v/>
      </c>
      <c r="H59" s="363"/>
    </row>
    <row r="60" spans="1:8" ht="25.35" customHeight="1">
      <c r="A60" s="356"/>
      <c r="B60" s="357"/>
      <c r="C60" s="358" t="str">
        <f t="shared" si="0"/>
        <v/>
      </c>
      <c r="D60" s="359"/>
      <c r="E60" s="360"/>
      <c r="F60" s="361"/>
      <c r="G60" s="362" t="str">
        <f t="shared" si="1"/>
        <v/>
      </c>
      <c r="H60" s="363"/>
    </row>
    <row r="61" spans="1:8" ht="25.35" customHeight="1">
      <c r="A61" s="356"/>
      <c r="B61" s="357"/>
      <c r="C61" s="358" t="str">
        <f t="shared" si="0"/>
        <v/>
      </c>
      <c r="D61" s="359"/>
      <c r="E61" s="360"/>
      <c r="F61" s="361"/>
      <c r="G61" s="362" t="str">
        <f t="shared" si="1"/>
        <v/>
      </c>
      <c r="H61" s="363"/>
    </row>
    <row r="62" spans="1:8" ht="25.35" customHeight="1">
      <c r="A62" s="356"/>
      <c r="B62" s="357"/>
      <c r="C62" s="358" t="str">
        <f t="shared" si="0"/>
        <v/>
      </c>
      <c r="D62" s="359"/>
      <c r="E62" s="360"/>
      <c r="F62" s="361"/>
      <c r="G62" s="362" t="str">
        <f t="shared" si="1"/>
        <v/>
      </c>
      <c r="H62" s="363"/>
    </row>
    <row r="63" spans="1:8" ht="25.35" customHeight="1">
      <c r="A63" s="356"/>
      <c r="B63" s="357"/>
      <c r="C63" s="358" t="str">
        <f t="shared" si="0"/>
        <v/>
      </c>
      <c r="D63" s="359"/>
      <c r="E63" s="360"/>
      <c r="F63" s="361"/>
      <c r="G63" s="362" t="str">
        <f t="shared" si="1"/>
        <v/>
      </c>
      <c r="H63" s="363"/>
    </row>
    <row r="64" spans="1:8" ht="25.35" customHeight="1">
      <c r="A64" s="356"/>
      <c r="B64" s="357"/>
      <c r="C64" s="358" t="str">
        <f>IF(A64="","",$F$19)</f>
        <v/>
      </c>
      <c r="D64" s="359"/>
      <c r="E64" s="360"/>
      <c r="F64" s="361"/>
      <c r="G64" s="362" t="str">
        <f t="shared" si="1"/>
        <v/>
      </c>
      <c r="H64" s="363"/>
    </row>
    <row r="65" spans="1:10" ht="13.5" customHeight="1">
      <c r="A65" s="286"/>
      <c r="B65" s="239"/>
      <c r="C65" s="240"/>
      <c r="D65" s="11"/>
      <c r="E65" s="214"/>
      <c r="F65" s="215"/>
      <c r="G65" s="214"/>
      <c r="H65" s="8"/>
    </row>
    <row r="66" spans="1:10" ht="54.95" customHeight="1">
      <c r="A66" s="301" t="s">
        <v>273</v>
      </c>
      <c r="B66" s="50"/>
      <c r="C66" s="301" t="s">
        <v>274</v>
      </c>
      <c r="D66" s="51"/>
      <c r="E66" s="302" t="s">
        <v>275</v>
      </c>
      <c r="F66" s="50"/>
      <c r="G66" s="303" t="s">
        <v>276</v>
      </c>
      <c r="H66" s="52"/>
    </row>
    <row r="67" spans="1:10" ht="13.5" customHeight="1">
      <c r="A67" s="304"/>
      <c r="B67" s="215"/>
      <c r="C67" s="214"/>
      <c r="D67" s="7"/>
      <c r="E67" s="214"/>
      <c r="F67" s="215"/>
      <c r="G67" s="214"/>
      <c r="H67" s="8"/>
    </row>
    <row r="68" spans="1:10" ht="54.95" customHeight="1">
      <c r="A68" s="305"/>
      <c r="B68" s="306"/>
      <c r="C68" s="305"/>
      <c r="D68" s="307"/>
      <c r="E68" s="308"/>
      <c r="F68" s="309"/>
      <c r="G68" s="310" t="s">
        <v>277</v>
      </c>
      <c r="H68" s="311">
        <v>0.12</v>
      </c>
    </row>
    <row r="69" spans="1:10" ht="13.5" customHeight="1">
      <c r="A69" s="304"/>
      <c r="B69" s="215"/>
      <c r="C69" s="214"/>
      <c r="D69" s="7"/>
      <c r="E69" s="214"/>
      <c r="F69" s="215"/>
      <c r="G69" s="214"/>
      <c r="H69" s="10"/>
    </row>
    <row r="70" spans="1:10" s="316" customFormat="1" ht="45" customHeight="1">
      <c r="A70" s="312" t="s">
        <v>278</v>
      </c>
      <c r="B70" s="313"/>
      <c r="C70" s="314"/>
      <c r="D70" s="313"/>
      <c r="E70" s="314"/>
      <c r="F70" s="313"/>
      <c r="G70" s="314"/>
      <c r="H70" s="315"/>
      <c r="J70" s="207"/>
    </row>
    <row r="71" spans="1:10" ht="35.1" customHeight="1">
      <c r="A71" s="279" t="s">
        <v>279</v>
      </c>
      <c r="B71" s="317"/>
      <c r="C71" s="317"/>
      <c r="D71" s="317"/>
      <c r="E71" s="317"/>
      <c r="F71" s="317"/>
      <c r="G71" s="317"/>
      <c r="H71" s="318"/>
    </row>
    <row r="72" spans="1:10" ht="39.950000000000003" customHeight="1">
      <c r="A72" s="283" t="s">
        <v>280</v>
      </c>
      <c r="B72" s="319"/>
      <c r="C72" s="319"/>
      <c r="D72" s="319"/>
      <c r="E72" s="319"/>
      <c r="F72" s="319"/>
      <c r="G72" s="319"/>
      <c r="H72" s="320"/>
    </row>
    <row r="73" spans="1:10" ht="13.5" customHeight="1">
      <c r="A73" s="321"/>
      <c r="B73" s="322"/>
      <c r="C73" s="323"/>
      <c r="D73" s="7"/>
      <c r="E73" s="214"/>
      <c r="F73" s="215"/>
      <c r="G73" s="214"/>
      <c r="H73" s="8"/>
    </row>
    <row r="74" spans="1:10" ht="54.95" customHeight="1">
      <c r="A74" s="219" t="s">
        <v>281</v>
      </c>
      <c r="B74" s="324" t="str">
        <f>IF($F$8="","",
IF($F$8="Tier 1 RE",0,
IF($F$8="Storage",$H$19,
IF($F$8="Tier 1 RE + Storage",
IF($B$27="","",
IF($B$27="Other",
IF($F$31="","",$F$31),
IFERROR(_xlfn.XLOOKUP($B$27,
'Dev Notes'!$B$19:$B$24,
'Dev Notes'!$D$19:$D$24),""))),
""))))</f>
        <v/>
      </c>
      <c r="C74" s="219" t="s">
        <v>282</v>
      </c>
      <c r="D74" s="325" t="str">
        <f>IF($F$8="Tier 1 RE",0,
IF($F$8="Storage",
IF(ISNUMBER($F$19),$F$19,""),
IF($F$8="TIER 1 RE + Storage",
IF($B$27="","",
IF($B$27="Other",
IF(AND(ISNUMBER($D$31),$D$31&gt;0),$D$31,""),
IFERROR(_xlfn.XLOOKUP($B$27,'Dev Notes'!$B$19:$B$24,'Dev Notes'!$C$19:$C$24),""))),
"")))</f>
        <v/>
      </c>
      <c r="E74" s="219" t="s">
        <v>283</v>
      </c>
      <c r="F74" s="33"/>
      <c r="G74" s="219" t="s">
        <v>284</v>
      </c>
      <c r="H74" s="36"/>
    </row>
    <row r="75" spans="1:10" ht="13.5" customHeight="1">
      <c r="A75" s="286"/>
      <c r="B75" s="239"/>
      <c r="C75" s="240"/>
      <c r="D75" s="11"/>
      <c r="E75" s="214"/>
      <c r="F75" s="264"/>
      <c r="G75" s="214"/>
      <c r="H75" s="8"/>
    </row>
    <row r="76" spans="1:10" ht="54.95" customHeight="1">
      <c r="A76" s="219" t="s">
        <v>285</v>
      </c>
      <c r="B76" s="29"/>
      <c r="C76" s="326" t="s">
        <v>286</v>
      </c>
      <c r="D76" s="32"/>
      <c r="E76" s="326" t="s">
        <v>287</v>
      </c>
      <c r="F76" s="49"/>
      <c r="G76" s="327" t="s">
        <v>288</v>
      </c>
      <c r="H76" s="36"/>
    </row>
    <row r="77" spans="1:10" ht="13.5" customHeight="1">
      <c r="A77" s="286"/>
      <c r="B77" s="239"/>
      <c r="C77" s="240"/>
      <c r="D77" s="11"/>
      <c r="E77" s="214"/>
      <c r="F77" s="215"/>
      <c r="G77" s="214"/>
      <c r="H77" s="8"/>
    </row>
    <row r="78" spans="1:10" ht="54.95" customHeight="1">
      <c r="A78" s="328" t="s">
        <v>289</v>
      </c>
      <c r="B78" s="37"/>
      <c r="C78" s="310" t="s">
        <v>290</v>
      </c>
      <c r="D78" s="37"/>
      <c r="E78" s="329" t="s">
        <v>291</v>
      </c>
      <c r="F78" s="48"/>
      <c r="G78" s="330"/>
      <c r="H78" s="331"/>
    </row>
    <row r="79" spans="1:10" ht="13.5" customHeight="1">
      <c r="A79" s="256"/>
      <c r="B79" s="13"/>
      <c r="C79" s="214"/>
      <c r="D79" s="13"/>
      <c r="E79" s="214"/>
      <c r="F79" s="13"/>
      <c r="G79" s="278"/>
      <c r="H79" s="14"/>
    </row>
    <row r="80" spans="1:10" s="316" customFormat="1" ht="45" customHeight="1">
      <c r="A80" s="312" t="s">
        <v>292</v>
      </c>
      <c r="B80" s="313"/>
      <c r="C80" s="314"/>
      <c r="D80" s="313"/>
      <c r="E80" s="314"/>
      <c r="F80" s="313"/>
      <c r="G80" s="314"/>
      <c r="H80" s="315"/>
      <c r="J80" s="207"/>
    </row>
    <row r="81" spans="1:8" ht="35.1" customHeight="1">
      <c r="A81" s="279" t="s">
        <v>293</v>
      </c>
      <c r="B81" s="317"/>
      <c r="C81" s="317"/>
      <c r="D81" s="317"/>
      <c r="E81" s="317"/>
      <c r="F81" s="317"/>
      <c r="G81" s="317"/>
      <c r="H81" s="318"/>
    </row>
    <row r="82" spans="1:8" ht="39.950000000000003" customHeight="1">
      <c r="A82" s="283" t="s">
        <v>294</v>
      </c>
      <c r="B82" s="319"/>
      <c r="C82" s="319"/>
      <c r="D82" s="319"/>
      <c r="E82" s="319"/>
      <c r="F82" s="319"/>
      <c r="G82" s="319"/>
      <c r="H82" s="320"/>
    </row>
    <row r="83" spans="1:8" ht="13.5" customHeight="1">
      <c r="A83" s="286"/>
      <c r="B83" s="239"/>
      <c r="C83" s="240"/>
      <c r="D83" s="11"/>
      <c r="E83" s="240"/>
      <c r="F83" s="239"/>
      <c r="G83" s="240"/>
      <c r="H83" s="12"/>
    </row>
    <row r="84" spans="1:8" ht="54.95" customHeight="1">
      <c r="A84" s="294" t="s">
        <v>295</v>
      </c>
      <c r="B84" s="29"/>
      <c r="C84" s="219" t="s">
        <v>296</v>
      </c>
      <c r="D84" s="29"/>
      <c r="E84" s="296" t="s">
        <v>297</v>
      </c>
      <c r="F84" s="29"/>
      <c r="G84" s="295" t="s">
        <v>298</v>
      </c>
      <c r="H84" s="30"/>
    </row>
    <row r="85" spans="1:8" ht="13.5" customHeight="1">
      <c r="A85" s="286"/>
      <c r="B85" s="239"/>
      <c r="C85" s="240"/>
      <c r="D85" s="11"/>
      <c r="E85" s="214"/>
      <c r="F85" s="215"/>
      <c r="G85" s="214"/>
      <c r="H85" s="8"/>
    </row>
    <row r="86" spans="1:8" ht="54.95" customHeight="1">
      <c r="A86" s="294" t="s">
        <v>299</v>
      </c>
      <c r="B86" s="29"/>
      <c r="C86" s="219" t="s">
        <v>300</v>
      </c>
      <c r="D86" s="29"/>
      <c r="E86" s="219" t="s">
        <v>301</v>
      </c>
      <c r="F86" s="31"/>
      <c r="G86" s="219" t="s">
        <v>302</v>
      </c>
      <c r="H86" s="332">
        <v>0.02</v>
      </c>
    </row>
    <row r="87" spans="1:8" ht="13.5" customHeight="1">
      <c r="A87" s="286"/>
      <c r="B87" s="239"/>
      <c r="C87" s="241"/>
      <c r="D87" s="24"/>
      <c r="E87" s="214"/>
      <c r="F87" s="215"/>
      <c r="G87" s="214"/>
      <c r="H87" s="8"/>
    </row>
    <row r="88" spans="1:8" ht="54.95" customHeight="1">
      <c r="A88" s="288" t="s">
        <v>303</v>
      </c>
      <c r="B88" s="29"/>
      <c r="C88" s="326" t="s">
        <v>304</v>
      </c>
      <c r="D88" s="29"/>
      <c r="E88" s="219" t="s">
        <v>305</v>
      </c>
      <c r="F88" s="38"/>
      <c r="G88" s="246"/>
      <c r="H88" s="290"/>
    </row>
    <row r="89" spans="1:8" ht="13.35" customHeight="1">
      <c r="A89" s="333"/>
      <c r="B89" s="25"/>
      <c r="C89" s="334"/>
      <c r="D89" s="25"/>
      <c r="E89" s="334"/>
      <c r="F89" s="25"/>
      <c r="G89" s="334"/>
      <c r="H89" s="26"/>
    </row>
    <row r="90" spans="1:8" ht="35.1" customHeight="1">
      <c r="A90" s="279" t="s">
        <v>306</v>
      </c>
      <c r="B90" s="280"/>
      <c r="C90" s="280"/>
      <c r="D90" s="281"/>
      <c r="E90" s="280"/>
      <c r="F90" s="280"/>
      <c r="G90" s="280"/>
      <c r="H90" s="282"/>
    </row>
    <row r="91" spans="1:8" ht="35.1" customHeight="1">
      <c r="A91" s="335" t="s">
        <v>307</v>
      </c>
      <c r="B91" s="284"/>
      <c r="C91" s="284"/>
      <c r="D91" s="284"/>
      <c r="E91" s="284"/>
      <c r="F91" s="284"/>
      <c r="G91" s="284"/>
      <c r="H91" s="285"/>
    </row>
    <row r="92" spans="1:8" ht="13.5" customHeight="1">
      <c r="A92" s="286"/>
      <c r="B92" s="239"/>
      <c r="C92" s="240"/>
      <c r="D92" s="11"/>
      <c r="E92" s="240"/>
      <c r="F92" s="239"/>
      <c r="G92" s="240"/>
      <c r="H92" s="12"/>
    </row>
    <row r="93" spans="1:8" ht="72" customHeight="1">
      <c r="A93" s="288" t="s">
        <v>308</v>
      </c>
      <c r="B93" s="29"/>
      <c r="C93" s="288" t="s">
        <v>309</v>
      </c>
      <c r="D93" s="29"/>
      <c r="E93" s="219" t="s">
        <v>310</v>
      </c>
      <c r="F93" s="31"/>
      <c r="G93" s="219" t="s">
        <v>311</v>
      </c>
      <c r="H93" s="39"/>
    </row>
    <row r="94" spans="1:8" ht="13.5" customHeight="1">
      <c r="A94" s="286"/>
      <c r="B94" s="215"/>
      <c r="C94" s="240"/>
      <c r="D94" s="7"/>
      <c r="E94" s="240"/>
      <c r="F94" s="215"/>
      <c r="G94" s="240"/>
      <c r="H94" s="8"/>
    </row>
    <row r="95" spans="1:8" ht="54.95" customHeight="1">
      <c r="A95" s="294" t="s">
        <v>312</v>
      </c>
      <c r="B95" s="29"/>
      <c r="C95" s="219" t="s">
        <v>313</v>
      </c>
      <c r="D95" s="29"/>
      <c r="E95" s="219" t="s">
        <v>314</v>
      </c>
      <c r="F95" s="31"/>
      <c r="G95" s="296" t="s">
        <v>315</v>
      </c>
      <c r="H95" s="36"/>
    </row>
    <row r="96" spans="1:8" ht="13.5" customHeight="1">
      <c r="A96" s="286"/>
      <c r="B96" s="239"/>
      <c r="C96" s="240"/>
      <c r="D96" s="11"/>
      <c r="E96" s="214"/>
      <c r="F96" s="215"/>
      <c r="G96" s="214"/>
      <c r="H96" s="8"/>
    </row>
    <row r="97" spans="1:10" ht="54.95" customHeight="1">
      <c r="A97" s="295" t="s">
        <v>316</v>
      </c>
      <c r="B97" s="35"/>
      <c r="C97" s="219" t="s">
        <v>317</v>
      </c>
      <c r="D97" s="29"/>
      <c r="E97" s="219" t="s">
        <v>318</v>
      </c>
      <c r="F97" s="31"/>
      <c r="G97" s="288" t="s">
        <v>319</v>
      </c>
      <c r="H97" s="36"/>
    </row>
    <row r="98" spans="1:10" ht="13.5" customHeight="1">
      <c r="A98" s="286"/>
      <c r="B98" s="336"/>
      <c r="C98" s="241"/>
      <c r="D98" s="24"/>
      <c r="E98" s="214"/>
      <c r="F98" s="215"/>
      <c r="G98" s="214"/>
      <c r="H98" s="8"/>
    </row>
    <row r="99" spans="1:10" ht="54.95" customHeight="1">
      <c r="A99" s="288" t="s">
        <v>320</v>
      </c>
      <c r="B99" s="29"/>
      <c r="C99" s="337"/>
      <c r="D99" s="338"/>
      <c r="E99" s="337"/>
      <c r="F99" s="338"/>
      <c r="G99" s="337"/>
      <c r="H99" s="228"/>
    </row>
    <row r="100" spans="1:10" ht="13.5" customHeight="1">
      <c r="A100" s="333"/>
      <c r="B100" s="25"/>
      <c r="C100" s="334"/>
      <c r="D100" s="25"/>
      <c r="E100" s="334"/>
      <c r="F100" s="25"/>
      <c r="G100" s="334"/>
      <c r="H100" s="26"/>
    </row>
    <row r="101" spans="1:10" ht="35.1" customHeight="1">
      <c r="A101" s="279" t="s">
        <v>321</v>
      </c>
      <c r="B101" s="280"/>
      <c r="C101" s="280"/>
      <c r="D101" s="281"/>
      <c r="E101" s="280"/>
      <c r="F101" s="280"/>
      <c r="G101" s="280"/>
      <c r="H101" s="282"/>
    </row>
    <row r="102" spans="1:10" ht="35.1" customHeight="1">
      <c r="A102" s="335" t="s">
        <v>322</v>
      </c>
      <c r="B102" s="284"/>
      <c r="C102" s="284"/>
      <c r="D102" s="284"/>
      <c r="E102" s="284"/>
      <c r="F102" s="284"/>
      <c r="G102" s="284"/>
      <c r="H102" s="285"/>
    </row>
    <row r="103" spans="1:10" ht="13.5" customHeight="1">
      <c r="A103" s="286"/>
      <c r="B103" s="239"/>
      <c r="C103" s="241"/>
      <c r="D103" s="24"/>
      <c r="E103" s="241"/>
      <c r="F103" s="242"/>
      <c r="G103" s="241"/>
      <c r="H103" s="23"/>
    </row>
    <row r="104" spans="1:10" ht="84" customHeight="1">
      <c r="A104" s="328" t="s">
        <v>323</v>
      </c>
      <c r="B104" s="40"/>
      <c r="C104" s="329" t="s">
        <v>324</v>
      </c>
      <c r="D104" s="339" t="str">
        <f>IF(OR(NOT(ISNUMBER($B$104)),NOT(ISNUMBER($H$104))),"",
IF($H$104&lt;=0,"",$B$104/$H$104))</f>
        <v/>
      </c>
      <c r="E104" s="329" t="s">
        <v>325</v>
      </c>
      <c r="F104" s="340">
        <f>$H$8</f>
        <v>0</v>
      </c>
      <c r="G104" s="329" t="s">
        <v>326</v>
      </c>
      <c r="H104" s="341" t="str">
        <f>IF($F$8="","",
IF(OR($F$8="Tier 1 RE",$F$8="Storage"),
IF(ISNUMBER($H$23),$H$23,""),
IF($F$8="TIER 1 RE + Storage",
IF(ISNUMBER($H$35),$H$35,""),
"")))</f>
        <v/>
      </c>
      <c r="J104" s="201"/>
    </row>
    <row r="105" spans="1:10" ht="13.5" customHeight="1">
      <c r="A105" s="342"/>
      <c r="B105" s="15"/>
      <c r="C105" s="343"/>
      <c r="D105" s="15"/>
      <c r="E105" s="343"/>
      <c r="F105" s="15"/>
      <c r="G105" s="343"/>
      <c r="H105" s="27"/>
    </row>
    <row r="106" spans="1:10" s="316" customFormat="1" ht="45" customHeight="1">
      <c r="A106" s="203" t="s">
        <v>327</v>
      </c>
      <c r="B106" s="344"/>
      <c r="C106" s="344"/>
      <c r="D106" s="344"/>
      <c r="E106" s="344"/>
      <c r="F106" s="344"/>
      <c r="G106" s="344"/>
      <c r="H106" s="345"/>
      <c r="J106" s="207"/>
    </row>
    <row r="107" spans="1:10" ht="34.5" customHeight="1">
      <c r="A107" s="346" t="s">
        <v>328</v>
      </c>
      <c r="B107" s="347"/>
      <c r="C107" s="347"/>
      <c r="D107" s="347"/>
      <c r="E107" s="347"/>
      <c r="F107" s="347"/>
      <c r="G107" s="347"/>
      <c r="H107" s="348"/>
    </row>
    <row r="108" spans="1:10" ht="13.5" customHeight="1">
      <c r="A108" s="286"/>
      <c r="B108" s="239"/>
      <c r="C108" s="240"/>
      <c r="D108" s="11"/>
      <c r="E108" s="240"/>
      <c r="F108" s="239"/>
      <c r="G108" s="240"/>
      <c r="H108" s="12"/>
    </row>
    <row r="109" spans="1:10" ht="54.95" customHeight="1">
      <c r="A109" s="294" t="s">
        <v>329</v>
      </c>
      <c r="B109" s="349">
        <f>IF(AND(
OR($F$8="Tier 1 RE",$F$8="TIER 1 RE + Storage"),
$B$17="Solar PV"),
IF(AND(ISNUMBER($B$19),ISNUMBER($B$41)),
$B$19*$B$41,0),
0)</f>
        <v>0</v>
      </c>
      <c r="C109" s="219" t="s">
        <v>330</v>
      </c>
      <c r="D109" s="349">
        <f>IF($F$8="Storage",
IF(ISNUMBER($B$19),$B$19,0),
IF($F$8="TIER 1 RE + Storage",
IF(ISNUMBER($F$29),$F$29,0),
0))</f>
        <v>0</v>
      </c>
      <c r="E109" s="219" t="s">
        <v>331</v>
      </c>
      <c r="F109" s="349">
        <f>IF($F$8="Storage",
IF(AND(ISNUMBER($B$19),ISNUMBER($F$74)),$B$19*$F$74,0),
IF($F$8="TIER 1 RE + Storage",
IF(AND(ISNUMBER($F$29),ISNUMBER($F$74)),$F$29*$F$74,0),
0))</f>
        <v>0</v>
      </c>
      <c r="G109" s="296" t="s">
        <v>332</v>
      </c>
      <c r="H109" s="350">
        <f>IF(OR($F$8="Tier 1 RE",$F$8="TIER 1 RE + Storage"),$B$19*1000000*$B$84,0)</f>
        <v>0</v>
      </c>
      <c r="J109" s="201"/>
    </row>
    <row r="110" spans="1:10" ht="13.5" customHeight="1">
      <c r="A110" s="286"/>
      <c r="B110" s="247"/>
      <c r="C110" s="240"/>
      <c r="D110" s="11"/>
      <c r="E110" s="214"/>
      <c r="F110" s="215"/>
      <c r="G110" s="214"/>
      <c r="H110" s="8"/>
    </row>
    <row r="111" spans="1:10" ht="54.95" customHeight="1">
      <c r="A111" s="295" t="s">
        <v>333</v>
      </c>
      <c r="B111" s="351">
        <f>IF($F$8="Storage",
$B$19*$F$74*1000*$D$84,
IF($F$8="TIER 1 RE + Storage",
$F$29*$F$74*1000*$D$84,
0))</f>
        <v>0</v>
      </c>
      <c r="C111" s="219" t="s">
        <v>334</v>
      </c>
      <c r="D111" s="351">
        <f>'User Inputs'!$H$109+'User Inputs'!$B$111+'User Inputs'!$F$88</f>
        <v>0</v>
      </c>
      <c r="E111" s="219" t="s">
        <v>335</v>
      </c>
      <c r="F111" s="351">
        <f>IF(OR($B$93="No",$B$93=""),0,
IF($F$8="Storage",
$B$111*$F$93,
IF($F$8="Tier 1 RE",
IF(AND($B$93="Yes - Generation and/or Storage",$D$93="ITC"),$H$109*$F$93,0),
IF($F$8="TIER 1 RE + Storage",
IF($B$93="Storage Only",
$B$111*$F$93,
IF($B$93="Yes - Generation and/or Storage",
IF($D$93="ITC",($H$109+$B$111)*$F$93,$B$111*$F$93),
0)),
0))))</f>
        <v>0</v>
      </c>
      <c r="G111" s="288" t="s">
        <v>336</v>
      </c>
      <c r="H111" s="350">
        <f>$D$111-$F$111*$H$93</f>
        <v>0</v>
      </c>
    </row>
    <row r="112" spans="1:10" ht="13.5" customHeight="1">
      <c r="A112" s="286"/>
      <c r="B112" s="239"/>
      <c r="C112" s="241"/>
      <c r="D112" s="24"/>
      <c r="E112" s="214"/>
      <c r="F112" s="215"/>
      <c r="G112" s="214"/>
      <c r="H112" s="8"/>
    </row>
    <row r="113" spans="1:8" ht="54.95" customHeight="1">
      <c r="A113" s="329" t="s">
        <v>337</v>
      </c>
      <c r="B113" s="352">
        <f>$D$111*$F$97</f>
        <v>0</v>
      </c>
      <c r="C113" s="328" t="s">
        <v>338</v>
      </c>
      <c r="D113" s="352">
        <f>$D$111-$B$113</f>
        <v>0</v>
      </c>
      <c r="E113" s="328" t="s">
        <v>339</v>
      </c>
      <c r="F113" s="353">
        <f>$H$95+$B$97*(1-$H$95)</f>
        <v>0</v>
      </c>
      <c r="G113" s="329" t="s">
        <v>340</v>
      </c>
      <c r="H113" s="354" t="str">
        <f>IF($F$8="","",
IF($F$8="Storage",0,
IF(OR($F$8="Tier 1 RE",$F$8="TIER 1 RE + Storage"),
IF(ISNUMBER($D$19),$D$19,""),
"")))</f>
        <v/>
      </c>
    </row>
    <row r="114" spans="1:8" ht="13.5" customHeight="1">
      <c r="A114" s="16"/>
      <c r="B114" s="17"/>
      <c r="C114" s="16"/>
      <c r="D114" s="17"/>
      <c r="E114" s="18"/>
      <c r="F114" s="19"/>
      <c r="G114" s="18"/>
      <c r="H114" s="20"/>
    </row>
    <row r="115" spans="1:8" ht="18" customHeight="1">
      <c r="A115" s="21"/>
      <c r="B115" s="21"/>
      <c r="C115" s="21"/>
      <c r="D115" s="21"/>
      <c r="E115" s="21"/>
      <c r="F115" s="21"/>
      <c r="G115" s="21"/>
      <c r="H115" s="21"/>
    </row>
    <row r="116" spans="1:8" ht="7.5" customHeight="1">
      <c r="A116" s="22"/>
      <c r="B116" s="22"/>
      <c r="C116" s="22"/>
      <c r="D116" s="22"/>
      <c r="E116" s="22"/>
      <c r="F116" s="22"/>
      <c r="G116" s="22"/>
      <c r="H116" s="22"/>
    </row>
    <row r="117" spans="1:8" ht="54.75" customHeight="1">
      <c r="D117" s="355"/>
    </row>
    <row r="120" spans="1:8" ht="69.95" customHeight="1"/>
  </sheetData>
  <sheetProtection algorithmName="SHA-512" hashValue="litqoenS2TcCLqGEO267d9ufdo2z09jt7+ff14BsfRMhTG0hUiPaa50kzIHxJPN2SRWq5NJY7ZbQNYdP4t7vZA==" saltValue="isp74l2j1aHLwofo3hCiBw==" spinCount="100000" sheet="1" objects="1" scenarios="1"/>
  <mergeCells count="46">
    <mergeCell ref="A3:H3"/>
    <mergeCell ref="A54:B54"/>
    <mergeCell ref="C54:D54"/>
    <mergeCell ref="E54:F54"/>
    <mergeCell ref="G54:H54"/>
    <mergeCell ref="E17:H17"/>
    <mergeCell ref="A55:B55"/>
    <mergeCell ref="C55:D55"/>
    <mergeCell ref="E55:F55"/>
    <mergeCell ref="G55:H55"/>
    <mergeCell ref="A56:B56"/>
    <mergeCell ref="C56:D56"/>
    <mergeCell ref="E56:F56"/>
    <mergeCell ref="G56:H56"/>
    <mergeCell ref="A57:B57"/>
    <mergeCell ref="C57:D57"/>
    <mergeCell ref="E57:F57"/>
    <mergeCell ref="G57:H57"/>
    <mergeCell ref="A58:B58"/>
    <mergeCell ref="C58:D58"/>
    <mergeCell ref="E58:F58"/>
    <mergeCell ref="G58:H58"/>
    <mergeCell ref="A59:B59"/>
    <mergeCell ref="C59:D59"/>
    <mergeCell ref="E59:F59"/>
    <mergeCell ref="G59:H59"/>
    <mergeCell ref="A60:B60"/>
    <mergeCell ref="C60:D60"/>
    <mergeCell ref="E60:F60"/>
    <mergeCell ref="G60:H60"/>
    <mergeCell ref="A64:B64"/>
    <mergeCell ref="C64:D64"/>
    <mergeCell ref="E64:F64"/>
    <mergeCell ref="G61:H61"/>
    <mergeCell ref="G62:H62"/>
    <mergeCell ref="G64:H64"/>
    <mergeCell ref="A63:B63"/>
    <mergeCell ref="C63:D63"/>
    <mergeCell ref="E63:F63"/>
    <mergeCell ref="G63:H63"/>
    <mergeCell ref="A61:B61"/>
    <mergeCell ref="C61:D61"/>
    <mergeCell ref="E61:F61"/>
    <mergeCell ref="A62:B62"/>
    <mergeCell ref="C62:D62"/>
    <mergeCell ref="E62:F62"/>
  </mergeCells>
  <conditionalFormatting sqref="A17:B17">
    <cfRule type="expression" dxfId="44" priority="1">
      <formula>OR(AND(OR($F$8="Tier 1 RE",$F$8="Tier 1 RE + Storage"),$B$17="Battery Storage"),AND($F$8="Storage",$B$17&lt;&gt;"Battery Storage",$B$17&lt;&gt;""))</formula>
    </cfRule>
  </conditionalFormatting>
  <conditionalFormatting sqref="A27:B27 A28:G28 E29:G29 G31">
    <cfRule type="expression" dxfId="43" priority="37">
      <formula>$F$8&lt;&gt;"TIER 1 RE + Storage"</formula>
    </cfRule>
  </conditionalFormatting>
  <conditionalFormatting sqref="A41:B41">
    <cfRule type="expression" dxfId="42" priority="22">
      <formula>OR($F$8="Storage",$B$17&lt;&gt;"Solar PV")</formula>
    </cfRule>
  </conditionalFormatting>
  <conditionalFormatting sqref="A76:B77">
    <cfRule type="expression" dxfId="41" priority="30">
      <formula>AND($F$8&lt;&gt;"Storage",$F$8&lt;&gt;"TIER 1 RE + Storage")</formula>
    </cfRule>
  </conditionalFormatting>
  <conditionalFormatting sqref="A29:D29">
    <cfRule type="expression" dxfId="40" priority="2">
      <formula>$B$27="Other"</formula>
    </cfRule>
    <cfRule type="expression" dxfId="39" priority="4">
      <formula>$F$8&lt;&gt;"TIER 1 RE + Storage"</formula>
    </cfRule>
  </conditionalFormatting>
  <conditionalFormatting sqref="A45:D45">
    <cfRule type="expression" dxfId="38" priority="14">
      <formula>$F$8="Storage"</formula>
    </cfRule>
  </conditionalFormatting>
  <conditionalFormatting sqref="A95:D95">
    <cfRule type="expression" dxfId="37" priority="8">
      <formula>OR($B$93&lt;&gt;"Yes - Generation and/or Storage",$D$93&lt;&gt;"PTC",$F$8="Storage")</formula>
    </cfRule>
  </conditionalFormatting>
  <conditionalFormatting sqref="A23:E23">
    <cfRule type="expression" dxfId="36" priority="41">
      <formula>$D$17&lt;&gt;"Other"</formula>
    </cfRule>
  </conditionalFormatting>
  <conditionalFormatting sqref="A31:F31">
    <cfRule type="expression" dxfId="35" priority="35">
      <formula>OR($F$8&lt;&gt;"TIER 1 RE + Storage",$B$27&lt;&gt;"Other")</formula>
    </cfRule>
  </conditionalFormatting>
  <conditionalFormatting sqref="A43:F43">
    <cfRule type="expression" dxfId="34" priority="19">
      <formula>OR($F$8="Storage",AND($B$17&lt;&gt;"Biomass",$B$17&lt;&gt;"Poultry Litter-to-Energy",$B$17&lt;&gt;"Methane-from-Waste",$B$17&lt;&gt;"Fuel Cell"))</formula>
    </cfRule>
  </conditionalFormatting>
  <conditionalFormatting sqref="A52:F64">
    <cfRule type="expression" dxfId="33" priority="26">
      <formula>$F$8="Storage"</formula>
    </cfRule>
  </conditionalFormatting>
  <conditionalFormatting sqref="A78:F78">
    <cfRule type="expression" dxfId="32" priority="29">
      <formula>AND($F$8&lt;&gt;"Storage",$F$8&lt;&gt;"TIER 1 RE + Storage")</formula>
    </cfRule>
  </conditionalFormatting>
  <conditionalFormatting sqref="A50:G50">
    <cfRule type="expression" dxfId="31" priority="12">
      <formula>$F$8="Storage"</formula>
    </cfRule>
  </conditionalFormatting>
  <conditionalFormatting sqref="A66:G66">
    <cfRule type="expression" dxfId="30" priority="24">
      <formula>$F$8="Storage"</formula>
    </cfRule>
  </conditionalFormatting>
  <conditionalFormatting sqref="A74:G75 C76:G76">
    <cfRule type="expression" dxfId="29" priority="33">
      <formula>AND($F$8&lt;&gt;"Storage",$F$8&lt;&gt;"TIER 1 RE + Storage")</formula>
    </cfRule>
  </conditionalFormatting>
  <conditionalFormatting sqref="C17:D17">
    <cfRule type="expression" dxfId="28" priority="438">
      <formula>AND($B$17&lt;&gt;"",$D$17&lt;&gt;"",IFERROR(COUNTIF(INDIRECT(SUBSTITUTE(SUBSTITUTE($B$17," ","_"),"-","_")),$D$17)=0,FALSE))</formula>
    </cfRule>
  </conditionalFormatting>
  <conditionalFormatting sqref="C93:D93">
    <cfRule type="expression" dxfId="27" priority="7">
      <formula>$B$93="No"</formula>
    </cfRule>
  </conditionalFormatting>
  <conditionalFormatting sqref="C76:F76 A77:D77">
    <cfRule type="expression" dxfId="26" priority="31">
      <formula>AND($F$8&lt;&gt;"Storage",$F$8&lt;&gt;"TIER 1 RE + Storage")</formula>
    </cfRule>
  </conditionalFormatting>
  <conditionalFormatting sqref="C41:G41">
    <cfRule type="expression" dxfId="25" priority="21">
      <formula>OR($F$8="Storage",AND( $B$17&lt;&gt;"Solar Thermal", $B$17&lt;&gt;"Wastewater-to-Heat", $B$17&lt;&gt;"Poultry Litter-to-Energy", $B$17&lt;&gt;"Geothermal", $B$17&lt;&gt;"Biomass", $B$17&lt;&gt;"Fuel Cell", $B$17&lt;&gt;"Methane-from-Waste"))</formula>
    </cfRule>
  </conditionalFormatting>
  <conditionalFormatting sqref="E17">
    <cfRule type="expression" dxfId="24" priority="440">
      <formula>$E$17&lt;&gt;""</formula>
    </cfRule>
  </conditionalFormatting>
  <conditionalFormatting sqref="E93:F93">
    <cfRule type="expression" dxfId="23" priority="9">
      <formula>OR($B$93="No",AND($F$8="Tier 1 RE",$D$93="PTC"))</formula>
    </cfRule>
  </conditionalFormatting>
  <conditionalFormatting sqref="E95:F95">
    <cfRule type="expression" dxfId="22" priority="6">
      <formula>$B$93="No"</formula>
    </cfRule>
  </conditionalFormatting>
  <conditionalFormatting sqref="E19:G19">
    <cfRule type="expression" dxfId="21" priority="39">
      <formula>$D$17="Other"</formula>
    </cfRule>
  </conditionalFormatting>
  <conditionalFormatting sqref="E17:H17">
    <cfRule type="expression" dxfId="20" priority="439">
      <formula>$E$17=""</formula>
    </cfRule>
  </conditionalFormatting>
  <conditionalFormatting sqref="F23">
    <cfRule type="expression" dxfId="19" priority="40">
      <formula>$D$17&lt;&gt;"Other"</formula>
    </cfRule>
  </conditionalFormatting>
  <conditionalFormatting sqref="G68">
    <cfRule type="expression" dxfId="18" priority="13">
      <formula>OR($F$8="Storage",$B$17&lt;&gt;"Solar PV")</formula>
    </cfRule>
  </conditionalFormatting>
  <conditionalFormatting sqref="G43:H43">
    <cfRule type="expression" dxfId="17" priority="17">
      <formula>OR($F$8="Storage",AND($B$17&lt;&gt;"Poultry Litter-to-Energy",$B$17&lt;&gt;"Methane-from-Waste",$B$17&lt;&gt;"Biomass"))</formula>
    </cfRule>
  </conditionalFormatting>
  <conditionalFormatting sqref="G52:H64">
    <cfRule type="expression" dxfId="16" priority="25">
      <formula>$F$8="Storage"</formula>
    </cfRule>
  </conditionalFormatting>
  <conditionalFormatting sqref="G93:H93">
    <cfRule type="expression" dxfId="15" priority="430">
      <formula>OR($B$93="No",AND($F$8="Tier 1 RE",$D$93="PTC"))</formula>
    </cfRule>
  </conditionalFormatting>
  <conditionalFormatting sqref="H19">
    <cfRule type="expression" dxfId="14" priority="38">
      <formula>$D$17="Other"</formula>
    </cfRule>
  </conditionalFormatting>
  <conditionalFormatting sqref="H28:H29 H31">
    <cfRule type="expression" dxfId="13" priority="36">
      <formula>$F$8&lt;&gt;"TIER 1 RE + Storage"</formula>
    </cfRule>
  </conditionalFormatting>
  <conditionalFormatting sqref="H41">
    <cfRule type="expression" dxfId="12" priority="20">
      <formula>OR($F$8="Storage",AND( $B$17&lt;&gt;"Solar Thermal", $B$17&lt;&gt;"Wastewater-to-Heat", $B$17&lt;&gt;"Poultry Litter-to-Energy", $B$17&lt;&gt;"Geothermal", $B$17&lt;&gt;"Biomass", $B$17&lt;&gt;"Fuel Cell", $B$17&lt;&gt;"Methane-from-Waste"))</formula>
    </cfRule>
  </conditionalFormatting>
  <conditionalFormatting sqref="H50">
    <cfRule type="expression" dxfId="11" priority="27">
      <formula>$F$8="Storage"</formula>
    </cfRule>
  </conditionalFormatting>
  <conditionalFormatting sqref="H66">
    <cfRule type="expression" dxfId="10" priority="11">
      <formula>$F$8="Storage"</formula>
    </cfRule>
  </conditionalFormatting>
  <conditionalFormatting sqref="H68">
    <cfRule type="expression" dxfId="9" priority="28">
      <formula>OR($F$8="Storage",$B$17&lt;&gt;"Solar PV")</formula>
    </cfRule>
  </conditionalFormatting>
  <conditionalFormatting sqref="H74:H76">
    <cfRule type="expression" dxfId="8" priority="32">
      <formula>AND($F$8&lt;&gt;"Storage",$F$8&lt;&gt;"TIER 1 RE + Storage")</formula>
    </cfRule>
  </conditionalFormatting>
  <dataValidations count="10">
    <dataValidation type="list" sqref="B88 B78" xr:uid="{00000000-0002-0000-0000-000001000000}">
      <formula1>"Yes,No"</formula1>
    </dataValidation>
    <dataValidation type="list" sqref="D97" xr:uid="{00000000-0002-0000-0000-000002000000}">
      <formula1>"5-yr MACRS,Straight-line"</formula1>
    </dataValidation>
    <dataValidation type="list" sqref="D17" xr:uid="{15E6EC06-BA16-4702-B88F-008C9FAAD4C3}">
      <formula1>INDIRECT(SUBSTITUTE(SUBSTITUTE($B$17," ","_"),"-","_"))</formula1>
    </dataValidation>
    <dataValidation type="decimal" allowBlank="1" showInputMessage="1" showErrorMessage="1" sqref="E55:F64" xr:uid="{43C8A126-5290-4823-8264-1BB88B81A69D}">
      <formula1>0</formula1>
      <formula2>1</formula2>
    </dataValidation>
    <dataValidation type="decimal" allowBlank="1" showInputMessage="1" showErrorMessage="1" errorTitle="Invalid Degradation Rate" error="Please enter a numeric value between 0% and 100%. Text and values outside this range are not allowed." sqref="F23 M23" xr:uid="{94071FFC-8CB7-469D-B698-18A3773AD94D}">
      <formula1>0</formula1>
      <formula2>1</formula2>
    </dataValidation>
    <dataValidation type="whole" operator="greaterThan" allowBlank="1" showInputMessage="1" showErrorMessage="1" errorTitle="Invalid Technology Lifetime" error="Please enter a whole number greater than zero (years). Decimals, text, and negative values are not allowed." sqref="D23" xr:uid="{2EFE64F5-0625-449E-B525-32534AB61495}">
      <formula1>0</formula1>
    </dataValidation>
    <dataValidation type="date" allowBlank="1" showInputMessage="1" showErrorMessage="1" sqref="F15 F21 F25 F29 F35 F33" xr:uid="{B6C2A593-A6DF-4287-A7FF-D7DC79CEC57D}">
      <formula1>46023</formula1>
      <formula2>73415</formula2>
    </dataValidation>
    <dataValidation type="list" allowBlank="1" showInputMessage="1" showErrorMessage="1" sqref="B10" xr:uid="{045A6E63-E611-43A9-87F5-328BF8BA704D}">
      <formula1>PJM_Zones</formula1>
    </dataValidation>
    <dataValidation type="whole" allowBlank="1" showInputMessage="1" showErrorMessage="1" sqref="A55:B64" xr:uid="{72071A4D-9E27-4C29-82DC-E0CE58F54342}">
      <formula1>1</formula1>
      <formula2>$F$19</formula2>
    </dataValidation>
    <dataValidation type="list" sqref="D93" xr:uid="{EB86F82C-69A5-48D7-B8E4-EE5A1345B5C3}">
      <formula1>INDIRECT(IF(OR($B$93="Storage Only",$F$8="Storage"),"ITC_Only","ITC_PTC"))</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xr:uid="{00000000-0002-0000-0000-000000000000}">
          <x14:formula1>
            <xm:f>IF($F$8="Storage",'Dev Notes'!$B$15:$B$15,'Dev Notes'!$B$4:$B$14)</xm:f>
          </x14:formula1>
          <xm:sqref>B17</xm:sqref>
        </x14:dataValidation>
        <x14:dataValidation type="list" allowBlank="1" showInputMessage="1" showErrorMessage="1" xr:uid="{967753DD-9D7F-492E-A755-6C71660971EE}">
          <x14:formula1>
            <xm:f>'Dev Notes'!$E$4:$E$6</xm:f>
          </x14:formula1>
          <xm:sqref>F8 F10</xm:sqref>
        </x14:dataValidation>
        <x14:dataValidation type="list" xr:uid="{D39A83DA-32B5-40F2-9345-B102B84E1D9F}">
          <x14:formula1>
            <xm:f>'Dev Notes'!$G$45:$G$47</xm:f>
          </x14:formula1>
          <xm:sqref>B93</xm:sqref>
        </x14:dataValidation>
        <x14:dataValidation type="list" xr:uid="{7A8A229C-1745-4B27-A8C2-6E3F0D6FACEA}">
          <x14:formula1>
            <xm:f>IF($F$8="TIER 1 RE + Storage",Battery_Storage,'Dev Notes'!#REF!)</xm:f>
          </x14:formula1>
          <xm:sqref>B27 L20:L21 L18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8F5F5"/>
  </sheetPr>
  <dimension ref="A1:AM66"/>
  <sheetViews>
    <sheetView showGridLines="0" zoomScale="90" zoomScaleNormal="90" workbookViewId="0">
      <pane ySplit="3" topLeftCell="A63" activePane="bottomLeft" state="frozen"/>
      <selection pane="bottomLeft" activeCell="B4" sqref="B4"/>
    </sheetView>
  </sheetViews>
  <sheetFormatPr defaultColWidth="8.625" defaultRowHeight="14.45"/>
  <cols>
    <col min="1" max="1" width="5.125" style="120" customWidth="1"/>
    <col min="2" max="2" width="40" style="120" customWidth="1"/>
    <col min="3" max="39" width="16" style="120" customWidth="1"/>
    <col min="40" max="16384" width="8.625" style="120"/>
  </cols>
  <sheetData>
    <row r="1" spans="1:39" ht="7.5" customHeight="1">
      <c r="A1" s="119"/>
      <c r="B1" s="11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39" ht="135" customHeight="1">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row>
    <row r="3" spans="1:39" ht="104.25" customHeight="1">
      <c r="A3" s="122"/>
      <c r="B3" s="163" t="s">
        <v>341</v>
      </c>
      <c r="C3" s="123"/>
      <c r="D3" s="123"/>
      <c r="E3" s="123"/>
      <c r="F3" s="123"/>
      <c r="G3" s="123"/>
      <c r="H3" s="123"/>
      <c r="I3" s="123"/>
      <c r="J3" s="123"/>
      <c r="K3" s="123"/>
      <c r="L3" s="123"/>
      <c r="M3" s="123"/>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row>
    <row r="4" spans="1:39" ht="40.35" customHeight="1">
      <c r="A4" s="16"/>
      <c r="B4" s="16"/>
      <c r="C4" s="164" t="str">
        <f ca="1">_xlfn.LET(
_xlpm.ProjectType,'User Inputs'!$F$8,
_xlpm.TechType,'User Inputs'!$B$17,
_xlpm.Subtype,'User Inputs'!$D$17,
_xlpm.Lifetime,'User Inputs'!$F$19,
_xlpm.Degradation,'User Inputs'!$H$19,
_xlpm.RequiresDegradation,OR(
_xlpm.Subtype="Other",
AND(_xlpm.Degradation&lt;&gt;"",_xlpm.Degradation&lt;&gt;"-")
),
IF(OR(_xlpm.ProjectType="",_xlpm.TechType="",_xlpm.Subtype=""),
"⚠ CHECK INPUTS - Select a project type, technology type, and technology subtype in the User Inputs Tab",
IF(IFERROR(COUNTIF(INDIRECT(SUBSTITUTE(SUBSTITUTE(_xlpm.TechType," ","_"),"-","_")),_xlpm.Subtype),0)=0,
"⚠ CHECK INPUTS - Select a technology subtype that matches the technology type in the User Inputs Tab",
IF(OR(NOT(ISNUMBER(_xlpm.Lifetime)),_xlpm.Lifetime&lt;=0),
"⚠ CHECK INPUTS - Enter a valid system lifetime in the User Inputs Tab",
IF(AND(_xlpm.Subtype="Other",NOT(ISNUMBER(_xlpm.Degradation))),
"⚠ CHECK INPUTS - Enter a valid system degradation rate in the User Inputs Tab",
IF(AND(ISNUMBER(_xlpm.Degradation),OR(_xlpm.Degradation&lt;0,_xlpm.Degradation&gt;=1)),
"⚠ CHECK INPUTS - Enter a valid system degradation rate in the User Inputs Tab",
""))))))</f>
        <v>⚠ CHECK INPUTS - Select a project type, technology type, and technology subtype in the User Inputs Tab</v>
      </c>
      <c r="D4" s="164"/>
      <c r="E4" s="165"/>
      <c r="F4" s="166"/>
      <c r="G4" s="166"/>
      <c r="H4" s="166"/>
      <c r="I4" s="166"/>
      <c r="J4" s="166"/>
      <c r="K4" s="166"/>
      <c r="L4" s="166"/>
      <c r="M4" s="166"/>
      <c r="N4" s="166"/>
      <c r="O4" s="165"/>
      <c r="P4" s="167"/>
      <c r="Q4" s="167"/>
      <c r="R4" s="167"/>
      <c r="S4" s="167"/>
      <c r="T4" s="167"/>
      <c r="U4" s="167"/>
      <c r="V4" s="167"/>
      <c r="W4" s="167"/>
      <c r="X4" s="167"/>
      <c r="Y4" s="167"/>
      <c r="Z4" s="167"/>
      <c r="AA4" s="167"/>
      <c r="AB4" s="167"/>
      <c r="AC4" s="167"/>
      <c r="AD4" s="167"/>
      <c r="AE4" s="167"/>
      <c r="AF4" s="167"/>
      <c r="AG4" s="167"/>
      <c r="AH4" s="167"/>
      <c r="AI4" s="167"/>
      <c r="AJ4" s="167"/>
      <c r="AK4" s="167"/>
      <c r="AL4" s="167"/>
      <c r="AM4" s="167"/>
    </row>
    <row r="5" spans="1:39" s="170" customFormat="1" ht="17.100000000000001" customHeight="1">
      <c r="A5" s="16"/>
      <c r="B5" s="168" t="s">
        <v>342</v>
      </c>
      <c r="C5" s="169" t="str">
        <f>IF('User Inputs'!$H$8="","",'User Inputs'!$H$8-2)</f>
        <v/>
      </c>
      <c r="D5" s="169" t="str">
        <f>IF(C5="","",C5+1)</f>
        <v/>
      </c>
      <c r="E5" s="169" t="str">
        <f t="shared" ref="E5:AM5" si="0">IF(D5="","",D5+1)</f>
        <v/>
      </c>
      <c r="F5" s="169" t="str">
        <f t="shared" si="0"/>
        <v/>
      </c>
      <c r="G5" s="169" t="str">
        <f t="shared" si="0"/>
        <v/>
      </c>
      <c r="H5" s="169" t="str">
        <f t="shared" si="0"/>
        <v/>
      </c>
      <c r="I5" s="169" t="str">
        <f t="shared" si="0"/>
        <v/>
      </c>
      <c r="J5" s="169" t="str">
        <f t="shared" si="0"/>
        <v/>
      </c>
      <c r="K5" s="169" t="str">
        <f t="shared" si="0"/>
        <v/>
      </c>
      <c r="L5" s="169" t="str">
        <f t="shared" si="0"/>
        <v/>
      </c>
      <c r="M5" s="169" t="str">
        <f t="shared" si="0"/>
        <v/>
      </c>
      <c r="N5" s="169" t="str">
        <f t="shared" si="0"/>
        <v/>
      </c>
      <c r="O5" s="169" t="str">
        <f t="shared" si="0"/>
        <v/>
      </c>
      <c r="P5" s="169" t="str">
        <f t="shared" si="0"/>
        <v/>
      </c>
      <c r="Q5" s="169" t="str">
        <f t="shared" si="0"/>
        <v/>
      </c>
      <c r="R5" s="169" t="str">
        <f t="shared" si="0"/>
        <v/>
      </c>
      <c r="S5" s="169" t="str">
        <f t="shared" si="0"/>
        <v/>
      </c>
      <c r="T5" s="169" t="str">
        <f t="shared" si="0"/>
        <v/>
      </c>
      <c r="U5" s="169" t="str">
        <f t="shared" si="0"/>
        <v/>
      </c>
      <c r="V5" s="169" t="str">
        <f t="shared" si="0"/>
        <v/>
      </c>
      <c r="W5" s="169" t="str">
        <f t="shared" si="0"/>
        <v/>
      </c>
      <c r="X5" s="169" t="str">
        <f t="shared" si="0"/>
        <v/>
      </c>
      <c r="Y5" s="169" t="str">
        <f t="shared" si="0"/>
        <v/>
      </c>
      <c r="Z5" s="169" t="str">
        <f t="shared" si="0"/>
        <v/>
      </c>
      <c r="AA5" s="169" t="str">
        <f t="shared" si="0"/>
        <v/>
      </c>
      <c r="AB5" s="169" t="str">
        <f t="shared" si="0"/>
        <v/>
      </c>
      <c r="AC5" s="169" t="str">
        <f t="shared" si="0"/>
        <v/>
      </c>
      <c r="AD5" s="169" t="str">
        <f t="shared" si="0"/>
        <v/>
      </c>
      <c r="AE5" s="169" t="str">
        <f t="shared" si="0"/>
        <v/>
      </c>
      <c r="AF5" s="169" t="str">
        <f t="shared" si="0"/>
        <v/>
      </c>
      <c r="AG5" s="169" t="str">
        <f t="shared" si="0"/>
        <v/>
      </c>
      <c r="AH5" s="169" t="str">
        <f t="shared" si="0"/>
        <v/>
      </c>
      <c r="AI5" s="169" t="str">
        <f t="shared" si="0"/>
        <v/>
      </c>
      <c r="AJ5" s="169" t="str">
        <f t="shared" si="0"/>
        <v/>
      </c>
      <c r="AK5" s="169" t="str">
        <f t="shared" si="0"/>
        <v/>
      </c>
      <c r="AL5" s="169" t="str">
        <f t="shared" si="0"/>
        <v/>
      </c>
      <c r="AM5" s="169" t="str">
        <f t="shared" si="0"/>
        <v/>
      </c>
    </row>
    <row r="6" spans="1:39" s="173" customFormat="1" ht="17.100000000000001" customHeight="1">
      <c r="A6" s="16"/>
      <c r="B6" s="171" t="s">
        <v>343</v>
      </c>
      <c r="C6" s="172">
        <v>0</v>
      </c>
      <c r="D6" s="172">
        <v>0</v>
      </c>
      <c r="E6" s="172">
        <v>1</v>
      </c>
      <c r="F6" s="172">
        <v>2</v>
      </c>
      <c r="G6" s="172">
        <v>3</v>
      </c>
      <c r="H6" s="172">
        <v>4</v>
      </c>
      <c r="I6" s="172">
        <v>5</v>
      </c>
      <c r="J6" s="172">
        <v>6</v>
      </c>
      <c r="K6" s="172">
        <v>7</v>
      </c>
      <c r="L6" s="172">
        <v>8</v>
      </c>
      <c r="M6" s="172">
        <v>9</v>
      </c>
      <c r="N6" s="172">
        <v>10</v>
      </c>
      <c r="O6" s="172">
        <v>11</v>
      </c>
      <c r="P6" s="172">
        <v>12</v>
      </c>
      <c r="Q6" s="172">
        <v>13</v>
      </c>
      <c r="R6" s="172">
        <v>14</v>
      </c>
      <c r="S6" s="172">
        <v>15</v>
      </c>
      <c r="T6" s="172">
        <v>16</v>
      </c>
      <c r="U6" s="172">
        <v>17</v>
      </c>
      <c r="V6" s="172">
        <v>18</v>
      </c>
      <c r="W6" s="172">
        <v>19</v>
      </c>
      <c r="X6" s="172">
        <v>20</v>
      </c>
      <c r="Y6" s="172">
        <v>21</v>
      </c>
      <c r="Z6" s="172">
        <v>22</v>
      </c>
      <c r="AA6" s="172">
        <v>23</v>
      </c>
      <c r="AB6" s="172">
        <v>24</v>
      </c>
      <c r="AC6" s="172">
        <v>25</v>
      </c>
      <c r="AD6" s="172">
        <v>26</v>
      </c>
      <c r="AE6" s="172">
        <v>27</v>
      </c>
      <c r="AF6" s="172">
        <v>28</v>
      </c>
      <c r="AG6" s="172">
        <v>29</v>
      </c>
      <c r="AH6" s="172">
        <v>30</v>
      </c>
      <c r="AI6" s="172">
        <v>31</v>
      </c>
      <c r="AJ6" s="172">
        <v>32</v>
      </c>
      <c r="AK6" s="172">
        <v>33</v>
      </c>
      <c r="AL6" s="172">
        <v>34</v>
      </c>
      <c r="AM6" s="172">
        <v>35</v>
      </c>
    </row>
    <row r="7" spans="1:39" ht="23.4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row>
    <row r="8" spans="1:39" ht="22.35" customHeight="1">
      <c r="A8" s="16"/>
      <c r="B8" s="174" t="s">
        <v>344</v>
      </c>
      <c r="C8" s="175"/>
      <c r="D8" s="175"/>
      <c r="E8" s="175"/>
      <c r="F8" s="175"/>
      <c r="G8" s="175"/>
      <c r="H8" s="175"/>
      <c r="I8" s="175"/>
      <c r="J8" s="175"/>
      <c r="K8" s="175"/>
      <c r="L8" s="175"/>
      <c r="M8" s="175"/>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row>
    <row r="9" spans="1:39" s="178" customFormat="1" ht="17.100000000000001" customHeight="1">
      <c r="A9" s="16"/>
      <c r="B9" s="168" t="s">
        <v>345</v>
      </c>
      <c r="C9" s="176">
        <f>0</f>
        <v>0</v>
      </c>
      <c r="D9" s="176">
        <f>0</f>
        <v>0</v>
      </c>
      <c r="E9" s="177">
        <f ca="1">IF(OR(
NOT(ISNUMBER('User Inputs'!$H$113)),
NOT(ISNUMBER('User Inputs'!$F$19)),
NOT(ISNUMBER('User Inputs'!$H$19))
),0,
IF(OR(E$6&lt;1,E$6&gt;'User Inputs'!$F$19),0,
'User Inputs'!$H$113*(1-'User Inputs'!$H$19)^(E$6-1)))</f>
        <v>0</v>
      </c>
      <c r="F9" s="177">
        <f ca="1">IF(OR(
NOT(ISNUMBER('User Inputs'!$H$113)),
NOT(ISNUMBER('User Inputs'!$F$19)),
NOT(ISNUMBER('User Inputs'!$H$19))
),0,
IF(OR(F$6&lt;1,F$6&gt;'User Inputs'!$F$19),0,
'User Inputs'!$H$113*(1-'User Inputs'!$H$19)^(F$6-1)))</f>
        <v>0</v>
      </c>
      <c r="G9" s="177">
        <f ca="1">IF(OR(
NOT(ISNUMBER('User Inputs'!$H$113)),
NOT(ISNUMBER('User Inputs'!$F$19)),
NOT(ISNUMBER('User Inputs'!$H$19))
),0,
IF(OR(G$6&lt;1,G$6&gt;'User Inputs'!$F$19),0,
'User Inputs'!$H$113*(1-'User Inputs'!$H$19)^(G$6-1)))</f>
        <v>0</v>
      </c>
      <c r="H9" s="177">
        <f ca="1">IF(OR(
NOT(ISNUMBER('User Inputs'!$H$113)),
NOT(ISNUMBER('User Inputs'!$F$19)),
NOT(ISNUMBER('User Inputs'!$H$19))
),0,
IF(OR(H$6&lt;1,H$6&gt;'User Inputs'!$F$19),0,
'User Inputs'!$H$113*(1-'User Inputs'!$H$19)^(H$6-1)))</f>
        <v>0</v>
      </c>
      <c r="I9" s="177">
        <f ca="1">IF(OR(
NOT(ISNUMBER('User Inputs'!$H$113)),
NOT(ISNUMBER('User Inputs'!$F$19)),
NOT(ISNUMBER('User Inputs'!$H$19))
),0,
IF(OR(I$6&lt;1,I$6&gt;'User Inputs'!$F$19),0,
'User Inputs'!$H$113*(1-'User Inputs'!$H$19)^(I$6-1)))</f>
        <v>0</v>
      </c>
      <c r="J9" s="177">
        <f ca="1">IF(OR(
NOT(ISNUMBER('User Inputs'!$H$113)),
NOT(ISNUMBER('User Inputs'!$F$19)),
NOT(ISNUMBER('User Inputs'!$H$19))
),0,
IF(OR(J$6&lt;1,J$6&gt;'User Inputs'!$F$19),0,
'User Inputs'!$H$113*(1-'User Inputs'!$H$19)^(J$6-1)))</f>
        <v>0</v>
      </c>
      <c r="K9" s="177">
        <f ca="1">IF(OR(
NOT(ISNUMBER('User Inputs'!$H$113)),
NOT(ISNUMBER('User Inputs'!$F$19)),
NOT(ISNUMBER('User Inputs'!$H$19))
),0,
IF(OR(K$6&lt;1,K$6&gt;'User Inputs'!$F$19),0,
'User Inputs'!$H$113*(1-'User Inputs'!$H$19)^(K$6-1)))</f>
        <v>0</v>
      </c>
      <c r="L9" s="177">
        <f ca="1">IF(OR(
NOT(ISNUMBER('User Inputs'!$H$113)),
NOT(ISNUMBER('User Inputs'!$F$19)),
NOT(ISNUMBER('User Inputs'!$H$19))
),0,
IF(OR(L$6&lt;1,L$6&gt;'User Inputs'!$F$19),0,
'User Inputs'!$H$113*(1-'User Inputs'!$H$19)^(L$6-1)))</f>
        <v>0</v>
      </c>
      <c r="M9" s="177">
        <f ca="1">IF(OR(
NOT(ISNUMBER('User Inputs'!$H$113)),
NOT(ISNUMBER('User Inputs'!$F$19)),
NOT(ISNUMBER('User Inputs'!$H$19))
),0,
IF(OR(M$6&lt;1,M$6&gt;'User Inputs'!$F$19),0,
'User Inputs'!$H$113*(1-'User Inputs'!$H$19)^(M$6-1)))</f>
        <v>0</v>
      </c>
      <c r="N9" s="177">
        <f ca="1">IF(OR(
NOT(ISNUMBER('User Inputs'!$H$113)),
NOT(ISNUMBER('User Inputs'!$F$19)),
NOT(ISNUMBER('User Inputs'!$H$19))
),0,
IF(OR(N$6&lt;1,N$6&gt;'User Inputs'!$F$19),0,
'User Inputs'!$H$113*(1-'User Inputs'!$H$19)^(N$6-1)))</f>
        <v>0</v>
      </c>
      <c r="O9" s="177">
        <f ca="1">IF(OR(
NOT(ISNUMBER('User Inputs'!$H$113)),
NOT(ISNUMBER('User Inputs'!$F$19)),
NOT(ISNUMBER('User Inputs'!$H$19))
),0,
IF(OR(O$6&lt;1,O$6&gt;'User Inputs'!$F$19),0,
'User Inputs'!$H$113*(1-'User Inputs'!$H$19)^(O$6-1)))</f>
        <v>0</v>
      </c>
      <c r="P9" s="177">
        <f ca="1">IF(OR(
NOT(ISNUMBER('User Inputs'!$H$113)),
NOT(ISNUMBER('User Inputs'!$F$19)),
NOT(ISNUMBER('User Inputs'!$H$19))
),0,
IF(OR(P$6&lt;1,P$6&gt;'User Inputs'!$F$19),0,
'User Inputs'!$H$113*(1-'User Inputs'!$H$19)^(P$6-1)))</f>
        <v>0</v>
      </c>
      <c r="Q9" s="177">
        <f ca="1">IF(OR(
NOT(ISNUMBER('User Inputs'!$H$113)),
NOT(ISNUMBER('User Inputs'!$F$19)),
NOT(ISNUMBER('User Inputs'!$H$19))
),0,
IF(OR(Q$6&lt;1,Q$6&gt;'User Inputs'!$F$19),0,
'User Inputs'!$H$113*(1-'User Inputs'!$H$19)^(Q$6-1)))</f>
        <v>0</v>
      </c>
      <c r="R9" s="177">
        <f ca="1">IF(OR(
NOT(ISNUMBER('User Inputs'!$H$113)),
NOT(ISNUMBER('User Inputs'!$F$19)),
NOT(ISNUMBER('User Inputs'!$H$19))
),0,
IF(OR(R$6&lt;1,R$6&gt;'User Inputs'!$F$19),0,
'User Inputs'!$H$113*(1-'User Inputs'!$H$19)^(R$6-1)))</f>
        <v>0</v>
      </c>
      <c r="S9" s="177">
        <f ca="1">IF(OR(
NOT(ISNUMBER('User Inputs'!$H$113)),
NOT(ISNUMBER('User Inputs'!$F$19)),
NOT(ISNUMBER('User Inputs'!$H$19))
),0,
IF(OR(S$6&lt;1,S$6&gt;'User Inputs'!$F$19),0,
'User Inputs'!$H$113*(1-'User Inputs'!$H$19)^(S$6-1)))</f>
        <v>0</v>
      </c>
      <c r="T9" s="177">
        <f ca="1">IF(OR(
NOT(ISNUMBER('User Inputs'!$H$113)),
NOT(ISNUMBER('User Inputs'!$F$19)),
NOT(ISNUMBER('User Inputs'!$H$19))
),0,
IF(OR(T$6&lt;1,T$6&gt;'User Inputs'!$F$19),0,
'User Inputs'!$H$113*(1-'User Inputs'!$H$19)^(T$6-1)))</f>
        <v>0</v>
      </c>
      <c r="U9" s="177">
        <f ca="1">IF(OR(
NOT(ISNUMBER('User Inputs'!$H$113)),
NOT(ISNUMBER('User Inputs'!$F$19)),
NOT(ISNUMBER('User Inputs'!$H$19))
),0,
IF(OR(U$6&lt;1,U$6&gt;'User Inputs'!$F$19),0,
'User Inputs'!$H$113*(1-'User Inputs'!$H$19)^(U$6-1)))</f>
        <v>0</v>
      </c>
      <c r="V9" s="177">
        <f ca="1">IF(OR(
NOT(ISNUMBER('User Inputs'!$H$113)),
NOT(ISNUMBER('User Inputs'!$F$19)),
NOT(ISNUMBER('User Inputs'!$H$19))
),0,
IF(OR(V$6&lt;1,V$6&gt;'User Inputs'!$F$19),0,
'User Inputs'!$H$113*(1-'User Inputs'!$H$19)^(V$6-1)))</f>
        <v>0</v>
      </c>
      <c r="W9" s="177">
        <f ca="1">IF(OR(
NOT(ISNUMBER('User Inputs'!$H$113)),
NOT(ISNUMBER('User Inputs'!$F$19)),
NOT(ISNUMBER('User Inputs'!$H$19))
),0,
IF(OR(W$6&lt;1,W$6&gt;'User Inputs'!$F$19),0,
'User Inputs'!$H$113*(1-'User Inputs'!$H$19)^(W$6-1)))</f>
        <v>0</v>
      </c>
      <c r="X9" s="177">
        <f ca="1">IF(OR(
NOT(ISNUMBER('User Inputs'!$H$113)),
NOT(ISNUMBER('User Inputs'!$F$19)),
NOT(ISNUMBER('User Inputs'!$H$19))
),0,
IF(OR(X$6&lt;1,X$6&gt;'User Inputs'!$F$19),0,
'User Inputs'!$H$113*(1-'User Inputs'!$H$19)^(X$6-1)))</f>
        <v>0</v>
      </c>
      <c r="Y9" s="177">
        <f ca="1">IF(OR(
NOT(ISNUMBER('User Inputs'!$H$113)),
NOT(ISNUMBER('User Inputs'!$F$19)),
NOT(ISNUMBER('User Inputs'!$H$19))
),0,
IF(OR(Y$6&lt;1,Y$6&gt;'User Inputs'!$F$19),0,
'User Inputs'!$H$113*(1-'User Inputs'!$H$19)^(Y$6-1)))</f>
        <v>0</v>
      </c>
      <c r="Z9" s="177">
        <f ca="1">IF(OR(
NOT(ISNUMBER('User Inputs'!$H$113)),
NOT(ISNUMBER('User Inputs'!$F$19)),
NOT(ISNUMBER('User Inputs'!$H$19))
),0,
IF(OR(Z$6&lt;1,Z$6&gt;'User Inputs'!$F$19),0,
'User Inputs'!$H$113*(1-'User Inputs'!$H$19)^(Z$6-1)))</f>
        <v>0</v>
      </c>
      <c r="AA9" s="177">
        <f ca="1">IF(OR(
NOT(ISNUMBER('User Inputs'!$H$113)),
NOT(ISNUMBER('User Inputs'!$F$19)),
NOT(ISNUMBER('User Inputs'!$H$19))
),0,
IF(OR(AA$6&lt;1,AA$6&gt;'User Inputs'!$F$19),0,
'User Inputs'!$H$113*(1-'User Inputs'!$H$19)^(AA$6-1)))</f>
        <v>0</v>
      </c>
      <c r="AB9" s="177">
        <f ca="1">IF(OR(
NOT(ISNUMBER('User Inputs'!$H$113)),
NOT(ISNUMBER('User Inputs'!$F$19)),
NOT(ISNUMBER('User Inputs'!$H$19))
),0,
IF(OR(AB$6&lt;1,AB$6&gt;'User Inputs'!$F$19),0,
'User Inputs'!$H$113*(1-'User Inputs'!$H$19)^(AB$6-1)))</f>
        <v>0</v>
      </c>
      <c r="AC9" s="177">
        <f ca="1">IF(OR(
NOT(ISNUMBER('User Inputs'!$H$113)),
NOT(ISNUMBER('User Inputs'!$F$19)),
NOT(ISNUMBER('User Inputs'!$H$19))
),0,
IF(OR(AC$6&lt;1,AC$6&gt;'User Inputs'!$F$19),0,
'User Inputs'!$H$113*(1-'User Inputs'!$H$19)^(AC$6-1)))</f>
        <v>0</v>
      </c>
      <c r="AD9" s="177">
        <f ca="1">IF(OR(
NOT(ISNUMBER('User Inputs'!$H$113)),
NOT(ISNUMBER('User Inputs'!$F$19)),
NOT(ISNUMBER('User Inputs'!$H$19))
),0,
IF(OR(AD$6&lt;1,AD$6&gt;'User Inputs'!$F$19),0,
'User Inputs'!$H$113*(1-'User Inputs'!$H$19)^(AD$6-1)))</f>
        <v>0</v>
      </c>
      <c r="AE9" s="177">
        <f ca="1">IF(OR(
NOT(ISNUMBER('User Inputs'!$H$113)),
NOT(ISNUMBER('User Inputs'!$F$19)),
NOT(ISNUMBER('User Inputs'!$H$19))
),0,
IF(OR(AE$6&lt;1,AE$6&gt;'User Inputs'!$F$19),0,
'User Inputs'!$H$113*(1-'User Inputs'!$H$19)^(AE$6-1)))</f>
        <v>0</v>
      </c>
      <c r="AF9" s="177">
        <f ca="1">IF(OR(
NOT(ISNUMBER('User Inputs'!$H$113)),
NOT(ISNUMBER('User Inputs'!$F$19)),
NOT(ISNUMBER('User Inputs'!$H$19))
),0,
IF(OR(AF$6&lt;1,AF$6&gt;'User Inputs'!$F$19),0,
'User Inputs'!$H$113*(1-'User Inputs'!$H$19)^(AF$6-1)))</f>
        <v>0</v>
      </c>
      <c r="AG9" s="177">
        <f ca="1">IF(OR(
NOT(ISNUMBER('User Inputs'!$H$113)),
NOT(ISNUMBER('User Inputs'!$F$19)),
NOT(ISNUMBER('User Inputs'!$H$19))
),0,
IF(OR(AG$6&lt;1,AG$6&gt;'User Inputs'!$F$19),0,
'User Inputs'!$H$113*(1-'User Inputs'!$H$19)^(AG$6-1)))</f>
        <v>0</v>
      </c>
      <c r="AH9" s="177">
        <f ca="1">IF(OR(
NOT(ISNUMBER('User Inputs'!$H$113)),
NOT(ISNUMBER('User Inputs'!$F$19)),
NOT(ISNUMBER('User Inputs'!$H$19))
),0,
IF(OR(AH$6&lt;1,AH$6&gt;'User Inputs'!$F$19),0,
'User Inputs'!$H$113*(1-'User Inputs'!$H$19)^(AH$6-1)))</f>
        <v>0</v>
      </c>
      <c r="AI9" s="177">
        <f ca="1">IF(OR(
NOT(ISNUMBER('User Inputs'!$H$113)),
NOT(ISNUMBER('User Inputs'!$F$19)),
NOT(ISNUMBER('User Inputs'!$H$19))
),0,
IF(OR(AI$6&lt;1,AI$6&gt;'User Inputs'!$F$19),0,
'User Inputs'!$H$113*(1-'User Inputs'!$H$19)^(AI$6-1)))</f>
        <v>0</v>
      </c>
      <c r="AJ9" s="177">
        <f ca="1">IF(OR(
NOT(ISNUMBER('User Inputs'!$H$113)),
NOT(ISNUMBER('User Inputs'!$F$19)),
NOT(ISNUMBER('User Inputs'!$H$19))
),0,
IF(OR(AJ$6&lt;1,AJ$6&gt;'User Inputs'!$F$19),0,
'User Inputs'!$H$113*(1-'User Inputs'!$H$19)^(AJ$6-1)))</f>
        <v>0</v>
      </c>
      <c r="AK9" s="177">
        <f ca="1">IF(OR(
NOT(ISNUMBER('User Inputs'!$H$113)),
NOT(ISNUMBER('User Inputs'!$F$19)),
NOT(ISNUMBER('User Inputs'!$H$19))
),0,
IF(OR(AK$6&lt;1,AK$6&gt;'User Inputs'!$F$19),0,
'User Inputs'!$H$113*(1-'User Inputs'!$H$19)^(AK$6-1)))</f>
        <v>0</v>
      </c>
      <c r="AL9" s="177">
        <f ca="1">IF(OR(
NOT(ISNUMBER('User Inputs'!$H$113)),
NOT(ISNUMBER('User Inputs'!$F$19)),
NOT(ISNUMBER('User Inputs'!$H$19))
),0,
IF(OR(AL$6&lt;1,AL$6&gt;'User Inputs'!$F$19),0,
'User Inputs'!$H$113*(1-'User Inputs'!$H$19)^(AL$6-1)))</f>
        <v>0</v>
      </c>
      <c r="AM9" s="177">
        <f ca="1">IF(OR(
NOT(ISNUMBER('User Inputs'!$H$113)),
NOT(ISNUMBER('User Inputs'!$F$19)),
NOT(ISNUMBER('User Inputs'!$H$19))
),0,
IF(OR(AM$6&lt;1,AM$6&gt;'User Inputs'!$F$19),0,
'User Inputs'!$H$113*(1-'User Inputs'!$H$19)^(AM$6-1)))</f>
        <v>0</v>
      </c>
    </row>
    <row r="10" spans="1:39" s="178" customFormat="1" ht="17.100000000000001" customHeight="1">
      <c r="A10" s="16"/>
      <c r="B10" s="168" t="s">
        <v>346</v>
      </c>
      <c r="C10" s="179">
        <f>0</f>
        <v>0</v>
      </c>
      <c r="D10" s="179">
        <f>0</f>
        <v>0</v>
      </c>
      <c r="E10" s="180">
        <f ca="1">IF(E9=0,0,(E11+E12)/E9)</f>
        <v>0</v>
      </c>
      <c r="F10" s="180">
        <f t="shared" ref="F10:AM10" ca="1" si="1">IF(F9=0,0,(F11+F12)/F9)</f>
        <v>0</v>
      </c>
      <c r="G10" s="180">
        <f t="shared" ca="1" si="1"/>
        <v>0</v>
      </c>
      <c r="H10" s="180">
        <f t="shared" ca="1" si="1"/>
        <v>0</v>
      </c>
      <c r="I10" s="180">
        <f t="shared" ca="1" si="1"/>
        <v>0</v>
      </c>
      <c r="J10" s="180">
        <f t="shared" ca="1" si="1"/>
        <v>0</v>
      </c>
      <c r="K10" s="180">
        <f t="shared" ca="1" si="1"/>
        <v>0</v>
      </c>
      <c r="L10" s="180">
        <f t="shared" ca="1" si="1"/>
        <v>0</v>
      </c>
      <c r="M10" s="180">
        <f t="shared" ca="1" si="1"/>
        <v>0</v>
      </c>
      <c r="N10" s="180">
        <f t="shared" ca="1" si="1"/>
        <v>0</v>
      </c>
      <c r="O10" s="180">
        <f t="shared" ca="1" si="1"/>
        <v>0</v>
      </c>
      <c r="P10" s="180">
        <f t="shared" ca="1" si="1"/>
        <v>0</v>
      </c>
      <c r="Q10" s="180">
        <f t="shared" ca="1" si="1"/>
        <v>0</v>
      </c>
      <c r="R10" s="180">
        <f t="shared" ca="1" si="1"/>
        <v>0</v>
      </c>
      <c r="S10" s="180">
        <f t="shared" ca="1" si="1"/>
        <v>0</v>
      </c>
      <c r="T10" s="180">
        <f t="shared" ca="1" si="1"/>
        <v>0</v>
      </c>
      <c r="U10" s="180">
        <f t="shared" ca="1" si="1"/>
        <v>0</v>
      </c>
      <c r="V10" s="180">
        <f t="shared" ca="1" si="1"/>
        <v>0</v>
      </c>
      <c r="W10" s="180">
        <f t="shared" ca="1" si="1"/>
        <v>0</v>
      </c>
      <c r="X10" s="180">
        <f t="shared" ca="1" si="1"/>
        <v>0</v>
      </c>
      <c r="Y10" s="180">
        <f t="shared" ca="1" si="1"/>
        <v>0</v>
      </c>
      <c r="Z10" s="180">
        <f t="shared" ca="1" si="1"/>
        <v>0</v>
      </c>
      <c r="AA10" s="180">
        <f t="shared" ca="1" si="1"/>
        <v>0</v>
      </c>
      <c r="AB10" s="180">
        <f t="shared" ca="1" si="1"/>
        <v>0</v>
      </c>
      <c r="AC10" s="180">
        <f t="shared" ca="1" si="1"/>
        <v>0</v>
      </c>
      <c r="AD10" s="180">
        <f t="shared" ca="1" si="1"/>
        <v>0</v>
      </c>
      <c r="AE10" s="180">
        <f t="shared" ca="1" si="1"/>
        <v>0</v>
      </c>
      <c r="AF10" s="180">
        <f t="shared" ca="1" si="1"/>
        <v>0</v>
      </c>
      <c r="AG10" s="180">
        <f t="shared" ca="1" si="1"/>
        <v>0</v>
      </c>
      <c r="AH10" s="180">
        <f t="shared" ca="1" si="1"/>
        <v>0</v>
      </c>
      <c r="AI10" s="180">
        <f t="shared" ca="1" si="1"/>
        <v>0</v>
      </c>
      <c r="AJ10" s="180">
        <f t="shared" ca="1" si="1"/>
        <v>0</v>
      </c>
      <c r="AK10" s="180">
        <f t="shared" ca="1" si="1"/>
        <v>0</v>
      </c>
      <c r="AL10" s="180">
        <f t="shared" ca="1" si="1"/>
        <v>0</v>
      </c>
      <c r="AM10" s="180">
        <f t="shared" ca="1" si="1"/>
        <v>0</v>
      </c>
    </row>
    <row r="11" spans="1:39" s="178" customFormat="1" ht="17.100000000000001" customHeight="1">
      <c r="A11" s="16"/>
      <c r="B11" s="168" t="s">
        <v>347</v>
      </c>
      <c r="C11" s="179">
        <v>0</v>
      </c>
      <c r="D11" s="179">
        <f>0</f>
        <v>0</v>
      </c>
      <c r="E11" s="180">
        <f ca="1">IF(E$6="","",IF(OR(E$6&gt;'User Inputs'!$F$19,'User Inputs'!$F$8="Storage"),0,_xlfn.IFNA(E9*(1-LOOKUP(E$6,'User Inputs'!$A$55:$A$64,'User Inputs'!$E$55:$E$64))*'User Inputs'!$F$50*(1+'User Inputs'!$H$50)^(E$6-1),0)))</f>
        <v>0</v>
      </c>
      <c r="F11" s="180">
        <f ca="1">IF(F$6="","",IF(OR(F$6&gt;'User Inputs'!$F$19,'User Inputs'!$F$8="Storage"),0,_xlfn.IFNA(F9*(1-LOOKUP(F$6,'User Inputs'!$A$55:$A$64,'User Inputs'!$E$55:$E$64))*'User Inputs'!$F$50*(1+'User Inputs'!$H$50)^(F$6-1),0)))</f>
        <v>0</v>
      </c>
      <c r="G11" s="180">
        <f ca="1">IF(G$6="","",IF(OR(G$6&gt;'User Inputs'!$F$19,'User Inputs'!$F$8="Storage"),0,_xlfn.IFNA(G9*(1-LOOKUP(G$6,'User Inputs'!$A$55:$A$64,'User Inputs'!$E$55:$E$64))*'User Inputs'!$F$50*(1+'User Inputs'!$H$50)^(G$6-1),0)))</f>
        <v>0</v>
      </c>
      <c r="H11" s="180">
        <f ca="1">IF(H$6="","",IF(OR(H$6&gt;'User Inputs'!$F$19,'User Inputs'!$F$8="Storage"),0,_xlfn.IFNA(H9*(1-LOOKUP(H$6,'User Inputs'!$A$55:$A$64,'User Inputs'!$E$55:$E$64))*'User Inputs'!$F$50*(1+'User Inputs'!$H$50)^(H$6-1),0)))</f>
        <v>0</v>
      </c>
      <c r="I11" s="180">
        <f ca="1">IF(I$6="","",IF(OR(I$6&gt;'User Inputs'!$F$19,'User Inputs'!$F$8="Storage"),0,_xlfn.IFNA(I9*(1-LOOKUP(I$6,'User Inputs'!$A$55:$A$64,'User Inputs'!$E$55:$E$64))*'User Inputs'!$F$50*(1+'User Inputs'!$H$50)^(I$6-1),0)))</f>
        <v>0</v>
      </c>
      <c r="J11" s="180">
        <f ca="1">IF(J$6="","",IF(OR(J$6&gt;'User Inputs'!$F$19,'User Inputs'!$F$8="Storage"),0,_xlfn.IFNA(J9*(1-LOOKUP(J$6,'User Inputs'!$A$55:$A$64,'User Inputs'!$E$55:$E$64))*'User Inputs'!$F$50*(1+'User Inputs'!$H$50)^(J$6-1),0)))</f>
        <v>0</v>
      </c>
      <c r="K11" s="180">
        <f ca="1">IF(K$6="","",IF(OR(K$6&gt;'User Inputs'!$F$19,'User Inputs'!$F$8="Storage"),0,_xlfn.IFNA(K9*(1-LOOKUP(K$6,'User Inputs'!$A$55:$A$64,'User Inputs'!$E$55:$E$64))*'User Inputs'!$F$50*(1+'User Inputs'!$H$50)^(K$6-1),0)))</f>
        <v>0</v>
      </c>
      <c r="L11" s="180">
        <f ca="1">IF(L$6="","",IF(OR(L$6&gt;'User Inputs'!$F$19,'User Inputs'!$F$8="Storage"),0,_xlfn.IFNA(L9*(1-LOOKUP(L$6,'User Inputs'!$A$55:$A$64,'User Inputs'!$E$55:$E$64))*'User Inputs'!$F$50*(1+'User Inputs'!$H$50)^(L$6-1),0)))</f>
        <v>0</v>
      </c>
      <c r="M11" s="180">
        <f ca="1">IF(M$6="","",IF(OR(M$6&gt;'User Inputs'!$F$19,'User Inputs'!$F$8="Storage"),0,_xlfn.IFNA(M9*(1-LOOKUP(M$6,'User Inputs'!$A$55:$A$64,'User Inputs'!$E$55:$E$64))*'User Inputs'!$F$50*(1+'User Inputs'!$H$50)^(M$6-1),0)))</f>
        <v>0</v>
      </c>
      <c r="N11" s="180">
        <f ca="1">IF(N$6="","",IF(OR(N$6&gt;'User Inputs'!$F$19,'User Inputs'!$F$8="Storage"),0,_xlfn.IFNA(N9*(1-LOOKUP(N$6,'User Inputs'!$A$55:$A$64,'User Inputs'!$E$55:$E$64))*'User Inputs'!$F$50*(1+'User Inputs'!$H$50)^(N$6-1),0)))</f>
        <v>0</v>
      </c>
      <c r="O11" s="180">
        <f ca="1">IF(O$6="","",IF(OR(O$6&gt;'User Inputs'!$F$19,'User Inputs'!$F$8="Storage"),0,_xlfn.IFNA(O9*(1-LOOKUP(O$6,'User Inputs'!$A$55:$A$64,'User Inputs'!$E$55:$E$64))*'User Inputs'!$F$50*(1+'User Inputs'!$H$50)^(O$6-1),0)))</f>
        <v>0</v>
      </c>
      <c r="P11" s="180">
        <f ca="1">IF(P$6="","",IF(OR(P$6&gt;'User Inputs'!$F$19,'User Inputs'!$F$8="Storage"),0,_xlfn.IFNA(P9*(1-LOOKUP(P$6,'User Inputs'!$A$55:$A$64,'User Inputs'!$E$55:$E$64))*'User Inputs'!$F$50*(1+'User Inputs'!$H$50)^(P$6-1),0)))</f>
        <v>0</v>
      </c>
      <c r="Q11" s="180">
        <f ca="1">IF(Q$6="","",IF(OR(Q$6&gt;'User Inputs'!$F$19,'User Inputs'!$F$8="Storage"),0,_xlfn.IFNA(Q9*(1-LOOKUP(Q$6,'User Inputs'!$A$55:$A$64,'User Inputs'!$E$55:$E$64))*'User Inputs'!$F$50*(1+'User Inputs'!$H$50)^(Q$6-1),0)))</f>
        <v>0</v>
      </c>
      <c r="R11" s="180">
        <f ca="1">IF(R$6="","",IF(OR(R$6&gt;'User Inputs'!$F$19,'User Inputs'!$F$8="Storage"),0,_xlfn.IFNA(R9*(1-LOOKUP(R$6,'User Inputs'!$A$55:$A$64,'User Inputs'!$E$55:$E$64))*'User Inputs'!$F$50*(1+'User Inputs'!$H$50)^(R$6-1),0)))</f>
        <v>0</v>
      </c>
      <c r="S11" s="180">
        <f ca="1">IF(S$6="","",IF(OR(S$6&gt;'User Inputs'!$F$19,'User Inputs'!$F$8="Storage"),0,_xlfn.IFNA(S9*(1-LOOKUP(S$6,'User Inputs'!$A$55:$A$64,'User Inputs'!$E$55:$E$64))*'User Inputs'!$F$50*(1+'User Inputs'!$H$50)^(S$6-1),0)))</f>
        <v>0</v>
      </c>
      <c r="T11" s="180">
        <f ca="1">IF(T$6="","",IF(OR(T$6&gt;'User Inputs'!$F$19,'User Inputs'!$F$8="Storage"),0,_xlfn.IFNA(T9*(1-LOOKUP(T$6,'User Inputs'!$A$55:$A$64,'User Inputs'!$E$55:$E$64))*'User Inputs'!$F$50*(1+'User Inputs'!$H$50)^(T$6-1),0)))</f>
        <v>0</v>
      </c>
      <c r="U11" s="180">
        <f ca="1">IF(U$6="","",IF(OR(U$6&gt;'User Inputs'!$F$19,'User Inputs'!$F$8="Storage"),0,_xlfn.IFNA(U9*(1-LOOKUP(U$6,'User Inputs'!$A$55:$A$64,'User Inputs'!$E$55:$E$64))*'User Inputs'!$F$50*(1+'User Inputs'!$H$50)^(U$6-1),0)))</f>
        <v>0</v>
      </c>
      <c r="V11" s="180">
        <f ca="1">IF(V$6="","",IF(OR(V$6&gt;'User Inputs'!$F$19,'User Inputs'!$F$8="Storage"),0,_xlfn.IFNA(V9*(1-LOOKUP(V$6,'User Inputs'!$A$55:$A$64,'User Inputs'!$E$55:$E$64))*'User Inputs'!$F$50*(1+'User Inputs'!$H$50)^(V$6-1),0)))</f>
        <v>0</v>
      </c>
      <c r="W11" s="180">
        <f ca="1">IF(W$6="","",IF(OR(W$6&gt;'User Inputs'!$F$19,'User Inputs'!$F$8="Storage"),0,_xlfn.IFNA(W9*(1-LOOKUP(W$6,'User Inputs'!$A$55:$A$64,'User Inputs'!$E$55:$E$64))*'User Inputs'!$F$50*(1+'User Inputs'!$H$50)^(W$6-1),0)))</f>
        <v>0</v>
      </c>
      <c r="X11" s="180">
        <f ca="1">IF(X$6="","",IF(OR(X$6&gt;'User Inputs'!$F$19,'User Inputs'!$F$8="Storage"),0,_xlfn.IFNA(X9*(1-LOOKUP(X$6,'User Inputs'!$A$55:$A$64,'User Inputs'!$E$55:$E$64))*'User Inputs'!$F$50*(1+'User Inputs'!$H$50)^(X$6-1),0)))</f>
        <v>0</v>
      </c>
      <c r="Y11" s="180">
        <f ca="1">IF(Y$6="","",IF(OR(Y$6&gt;'User Inputs'!$F$19,'User Inputs'!$F$8="Storage"),0,_xlfn.IFNA(Y9*(1-LOOKUP(Y$6,'User Inputs'!$A$55:$A$64,'User Inputs'!$E$55:$E$64))*'User Inputs'!$F$50*(1+'User Inputs'!$H$50)^(Y$6-1),0)))</f>
        <v>0</v>
      </c>
      <c r="Z11" s="180">
        <f ca="1">IF(Z$6="","",IF(OR(Z$6&gt;'User Inputs'!$F$19,'User Inputs'!$F$8="Storage"),0,_xlfn.IFNA(Z9*(1-LOOKUP(Z$6,'User Inputs'!$A$55:$A$64,'User Inputs'!$E$55:$E$64))*'User Inputs'!$F$50*(1+'User Inputs'!$H$50)^(Z$6-1),0)))</f>
        <v>0</v>
      </c>
      <c r="AA11" s="180">
        <f ca="1">IF(AA$6="","",IF(OR(AA$6&gt;'User Inputs'!$F$19,'User Inputs'!$F$8="Storage"),0,_xlfn.IFNA(AA9*(1-LOOKUP(AA$6,'User Inputs'!$A$55:$A$64,'User Inputs'!$E$55:$E$64))*'User Inputs'!$F$50*(1+'User Inputs'!$H$50)^(AA$6-1),0)))</f>
        <v>0</v>
      </c>
      <c r="AB11" s="180">
        <f ca="1">IF(AB$6="","",IF(OR(AB$6&gt;'User Inputs'!$F$19,'User Inputs'!$F$8="Storage"),0,_xlfn.IFNA(AB9*(1-LOOKUP(AB$6,'User Inputs'!$A$55:$A$64,'User Inputs'!$E$55:$E$64))*'User Inputs'!$F$50*(1+'User Inputs'!$H$50)^(AB$6-1),0)))</f>
        <v>0</v>
      </c>
      <c r="AC11" s="180">
        <f ca="1">IF(AC$6="","",IF(OR(AC$6&gt;'User Inputs'!$F$19,'User Inputs'!$F$8="Storage"),0,_xlfn.IFNA(AC9*(1-LOOKUP(AC$6,'User Inputs'!$A$55:$A$64,'User Inputs'!$E$55:$E$64))*'User Inputs'!$F$50*(1+'User Inputs'!$H$50)^(AC$6-1),0)))</f>
        <v>0</v>
      </c>
      <c r="AD11" s="180">
        <f ca="1">IF(AD$6="","",IF(OR(AD$6&gt;'User Inputs'!$F$19,'User Inputs'!$F$8="Storage"),0,_xlfn.IFNA(AD9*(1-LOOKUP(AD$6,'User Inputs'!$A$55:$A$64,'User Inputs'!$E$55:$E$64))*'User Inputs'!$F$50*(1+'User Inputs'!$H$50)^(AD$6-1),0)))</f>
        <v>0</v>
      </c>
      <c r="AE11" s="180">
        <f ca="1">IF(AE$6="","",IF(OR(AE$6&gt;'User Inputs'!$F$19,'User Inputs'!$F$8="Storage"),0,_xlfn.IFNA(AE9*(1-LOOKUP(AE$6,'User Inputs'!$A$55:$A$64,'User Inputs'!$E$55:$E$64))*'User Inputs'!$F$50*(1+'User Inputs'!$H$50)^(AE$6-1),0)))</f>
        <v>0</v>
      </c>
      <c r="AF11" s="180">
        <f ca="1">IF(AF$6="","",IF(OR(AF$6&gt;'User Inputs'!$F$19,'User Inputs'!$F$8="Storage"),0,_xlfn.IFNA(AF9*(1-LOOKUP(AF$6,'User Inputs'!$A$55:$A$64,'User Inputs'!$E$55:$E$64))*'User Inputs'!$F$50*(1+'User Inputs'!$H$50)^(AF$6-1),0)))</f>
        <v>0</v>
      </c>
      <c r="AG11" s="180">
        <f ca="1">IF(AG$6="","",IF(OR(AG$6&gt;'User Inputs'!$F$19,'User Inputs'!$F$8="Storage"),0,_xlfn.IFNA(AG9*(1-LOOKUP(AG$6,'User Inputs'!$A$55:$A$64,'User Inputs'!$E$55:$E$64))*'User Inputs'!$F$50*(1+'User Inputs'!$H$50)^(AG$6-1),0)))</f>
        <v>0</v>
      </c>
      <c r="AH11" s="180">
        <f ca="1">IF(AH$6="","",IF(OR(AH$6&gt;'User Inputs'!$F$19,'User Inputs'!$F$8="Storage"),0,_xlfn.IFNA(AH9*(1-LOOKUP(AH$6,'User Inputs'!$A$55:$A$64,'User Inputs'!$E$55:$E$64))*'User Inputs'!$F$50*(1+'User Inputs'!$H$50)^(AH$6-1),0)))</f>
        <v>0</v>
      </c>
      <c r="AI11" s="180">
        <f ca="1">IF(AI$6="","",IF(OR(AI$6&gt;'User Inputs'!$F$19,'User Inputs'!$F$8="Storage"),0,_xlfn.IFNA(AI9*(1-LOOKUP(AI$6,'User Inputs'!$A$55:$A$64,'User Inputs'!$E$55:$E$64))*'User Inputs'!$F$50*(1+'User Inputs'!$H$50)^(AI$6-1),0)))</f>
        <v>0</v>
      </c>
      <c r="AJ11" s="180">
        <f ca="1">IF(AJ$6="","",IF(OR(AJ$6&gt;'User Inputs'!$F$19,'User Inputs'!$F$8="Storage"),0,_xlfn.IFNA(AJ9*(1-LOOKUP(AJ$6,'User Inputs'!$A$55:$A$64,'User Inputs'!$E$55:$E$64))*'User Inputs'!$F$50*(1+'User Inputs'!$H$50)^(AJ$6-1),0)))</f>
        <v>0</v>
      </c>
      <c r="AK11" s="180">
        <f ca="1">IF(AK$6="","",IF(OR(AK$6&gt;'User Inputs'!$F$19,'User Inputs'!$F$8="Storage"),0,_xlfn.IFNA(AK9*(1-LOOKUP(AK$6,'User Inputs'!$A$55:$A$64,'User Inputs'!$E$55:$E$64))*'User Inputs'!$F$50*(1+'User Inputs'!$H$50)^(AK$6-1),0)))</f>
        <v>0</v>
      </c>
      <c r="AL11" s="180">
        <f ca="1">IF(AL$6="","",IF(OR(AL$6&gt;'User Inputs'!$F$19,'User Inputs'!$F$8="Storage"),0,_xlfn.IFNA(AL9*(1-LOOKUP(AL$6,'User Inputs'!$A$55:$A$64,'User Inputs'!$E$55:$E$64))*'User Inputs'!$F$50*(1+'User Inputs'!$H$50)^(AL$6-1),0)))</f>
        <v>0</v>
      </c>
      <c r="AM11" s="180">
        <f ca="1">IF(AM$6="","",IF(OR(AM$6&gt;'User Inputs'!$F$19,'User Inputs'!$F$8="Storage"),0,_xlfn.IFNA(AM9*(1-LOOKUP(AM$6,'User Inputs'!$A$55:$A$64,'User Inputs'!$E$55:$E$64))*'User Inputs'!$F$50*(1+'User Inputs'!$H$50)^(AM$6-1),0)))</f>
        <v>0</v>
      </c>
    </row>
    <row r="12" spans="1:39" s="178" customFormat="1" ht="17.100000000000001" customHeight="1">
      <c r="A12" s="16"/>
      <c r="B12" s="168" t="s">
        <v>348</v>
      </c>
      <c r="C12" s="179">
        <f>0</f>
        <v>0</v>
      </c>
      <c r="D12" s="179">
        <f>0</f>
        <v>0</v>
      </c>
      <c r="E12" s="180">
        <f ca="1">IF(E$6="","",IF(OR(E$6&gt;'User Inputs'!$F$19,'User Inputs'!$F$8="Storage"),0,_xlfn.IFNA(E9*LOOKUP(E$6,'User Inputs'!$A$55:$A$64,'User Inputs'!$E$55:$E$64)*'User Inputs'!$B$50*(1+'User Inputs'!$D$50)^(E$6-1),0)))</f>
        <v>0</v>
      </c>
      <c r="F12" s="180">
        <f ca="1">IF(F$6="","",IF(OR(F$6&gt;'User Inputs'!$F$19,'User Inputs'!$F$8="Storage"),0,_xlfn.IFNA(F9*LOOKUP(F$6,'User Inputs'!$A$55:$A$64,'User Inputs'!$E$55:$E$64)*'User Inputs'!$B$50*(1+'User Inputs'!$D$50)^(F$6-1),0)))</f>
        <v>0</v>
      </c>
      <c r="G12" s="180">
        <f ca="1">IF(G$6="","",IF(OR(G$6&gt;'User Inputs'!$F$19,'User Inputs'!$F$8="Storage"),0,_xlfn.IFNA(G9*LOOKUP(G$6,'User Inputs'!$A$55:$A$64,'User Inputs'!$E$55:$E$64)*'User Inputs'!$B$50*(1+'User Inputs'!$D$50)^(G$6-1),0)))</f>
        <v>0</v>
      </c>
      <c r="H12" s="180">
        <f ca="1">IF(H$6="","",IF(OR(H$6&gt;'User Inputs'!$F$19,'User Inputs'!$F$8="Storage"),0,_xlfn.IFNA(H9*LOOKUP(H$6,'User Inputs'!$A$55:$A$64,'User Inputs'!$E$55:$E$64)*'User Inputs'!$B$50*(1+'User Inputs'!$D$50)^(H$6-1),0)))</f>
        <v>0</v>
      </c>
      <c r="I12" s="180">
        <f ca="1">IF(I$6="","",IF(OR(I$6&gt;'User Inputs'!$F$19,'User Inputs'!$F$8="Storage"),0,_xlfn.IFNA(I9*LOOKUP(I$6,'User Inputs'!$A$55:$A$64,'User Inputs'!$E$55:$E$64)*'User Inputs'!$B$50*(1+'User Inputs'!$D$50)^(I$6-1),0)))</f>
        <v>0</v>
      </c>
      <c r="J12" s="180">
        <f ca="1">IF(J$6="","",IF(OR(J$6&gt;'User Inputs'!$F$19,'User Inputs'!$F$8="Storage"),0,_xlfn.IFNA(J9*LOOKUP(J$6,'User Inputs'!$A$55:$A$64,'User Inputs'!$E$55:$E$64)*'User Inputs'!$B$50*(1+'User Inputs'!$D$50)^(J$6-1),0)))</f>
        <v>0</v>
      </c>
      <c r="K12" s="180">
        <f ca="1">IF(K$6="","",IF(OR(K$6&gt;'User Inputs'!$F$19,'User Inputs'!$F$8="Storage"),0,_xlfn.IFNA(K9*LOOKUP(K$6,'User Inputs'!$A$55:$A$64,'User Inputs'!$E$55:$E$64)*'User Inputs'!$B$50*(1+'User Inputs'!$D$50)^(K$6-1),0)))</f>
        <v>0</v>
      </c>
      <c r="L12" s="180">
        <f ca="1">IF(L$6="","",IF(OR(L$6&gt;'User Inputs'!$F$19,'User Inputs'!$F$8="Storage"),0,_xlfn.IFNA(L9*LOOKUP(L$6,'User Inputs'!$A$55:$A$64,'User Inputs'!$E$55:$E$64)*'User Inputs'!$B$50*(1+'User Inputs'!$D$50)^(L$6-1),0)))</f>
        <v>0</v>
      </c>
      <c r="M12" s="180">
        <f ca="1">IF(M$6="","",IF(OR(M$6&gt;'User Inputs'!$F$19,'User Inputs'!$F$8="Storage"),0,_xlfn.IFNA(M9*LOOKUP(M$6,'User Inputs'!$A$55:$A$64,'User Inputs'!$E$55:$E$64)*'User Inputs'!$B$50*(1+'User Inputs'!$D$50)^(M$6-1),0)))</f>
        <v>0</v>
      </c>
      <c r="N12" s="180">
        <f ca="1">IF(N$6="","",IF(OR(N$6&gt;'User Inputs'!$F$19,'User Inputs'!$F$8="Storage"),0,_xlfn.IFNA(N9*LOOKUP(N$6,'User Inputs'!$A$55:$A$64,'User Inputs'!$E$55:$E$64)*'User Inputs'!$B$50*(1+'User Inputs'!$D$50)^(N$6-1),0)))</f>
        <v>0</v>
      </c>
      <c r="O12" s="180">
        <f ca="1">IF(O$6="","",IF(OR(O$6&gt;'User Inputs'!$F$19,'User Inputs'!$F$8="Storage"),0,_xlfn.IFNA(O9*LOOKUP(O$6,'User Inputs'!$A$55:$A$64,'User Inputs'!$E$55:$E$64)*'User Inputs'!$B$50*(1+'User Inputs'!$D$50)^(O$6-1),0)))</f>
        <v>0</v>
      </c>
      <c r="P12" s="180">
        <f ca="1">IF(P$6="","",IF(OR(P$6&gt;'User Inputs'!$F$19,'User Inputs'!$F$8="Storage"),0,_xlfn.IFNA(P9*LOOKUP(P$6,'User Inputs'!$A$55:$A$64,'User Inputs'!$E$55:$E$64)*'User Inputs'!$B$50*(1+'User Inputs'!$D$50)^(P$6-1),0)))</f>
        <v>0</v>
      </c>
      <c r="Q12" s="180">
        <f ca="1">IF(Q$6="","",IF(OR(Q$6&gt;'User Inputs'!$F$19,'User Inputs'!$F$8="Storage"),0,_xlfn.IFNA(Q9*LOOKUP(Q$6,'User Inputs'!$A$55:$A$64,'User Inputs'!$E$55:$E$64)*'User Inputs'!$B$50*(1+'User Inputs'!$D$50)^(Q$6-1),0)))</f>
        <v>0</v>
      </c>
      <c r="R12" s="180">
        <f ca="1">IF(R$6="","",IF(OR(R$6&gt;'User Inputs'!$F$19,'User Inputs'!$F$8="Storage"),0,_xlfn.IFNA(R9*LOOKUP(R$6,'User Inputs'!$A$55:$A$64,'User Inputs'!$E$55:$E$64)*'User Inputs'!$B$50*(1+'User Inputs'!$D$50)^(R$6-1),0)))</f>
        <v>0</v>
      </c>
      <c r="S12" s="180">
        <f ca="1">IF(S$6="","",IF(OR(S$6&gt;'User Inputs'!$F$19,'User Inputs'!$F$8="Storage"),0,_xlfn.IFNA(S9*LOOKUP(S$6,'User Inputs'!$A$55:$A$64,'User Inputs'!$E$55:$E$64)*'User Inputs'!$B$50*(1+'User Inputs'!$D$50)^(S$6-1),0)))</f>
        <v>0</v>
      </c>
      <c r="T12" s="180">
        <f ca="1">IF(T$6="","",IF(OR(T$6&gt;'User Inputs'!$F$19,'User Inputs'!$F$8="Storage"),0,_xlfn.IFNA(T9*LOOKUP(T$6,'User Inputs'!$A$55:$A$64,'User Inputs'!$E$55:$E$64)*'User Inputs'!$B$50*(1+'User Inputs'!$D$50)^(T$6-1),0)))</f>
        <v>0</v>
      </c>
      <c r="U12" s="180">
        <f ca="1">IF(U$6="","",IF(OR(U$6&gt;'User Inputs'!$F$19,'User Inputs'!$F$8="Storage"),0,_xlfn.IFNA(U9*LOOKUP(U$6,'User Inputs'!$A$55:$A$64,'User Inputs'!$E$55:$E$64)*'User Inputs'!$B$50*(1+'User Inputs'!$D$50)^(U$6-1),0)))</f>
        <v>0</v>
      </c>
      <c r="V12" s="180">
        <f ca="1">IF(V$6="","",IF(OR(V$6&gt;'User Inputs'!$F$19,'User Inputs'!$F$8="Storage"),0,_xlfn.IFNA(V9*LOOKUP(V$6,'User Inputs'!$A$55:$A$64,'User Inputs'!$E$55:$E$64)*'User Inputs'!$B$50*(1+'User Inputs'!$D$50)^(V$6-1),0)))</f>
        <v>0</v>
      </c>
      <c r="W12" s="180">
        <f ca="1">IF(W$6="","",IF(OR(W$6&gt;'User Inputs'!$F$19,'User Inputs'!$F$8="Storage"),0,_xlfn.IFNA(W9*LOOKUP(W$6,'User Inputs'!$A$55:$A$64,'User Inputs'!$E$55:$E$64)*'User Inputs'!$B$50*(1+'User Inputs'!$D$50)^(W$6-1),0)))</f>
        <v>0</v>
      </c>
      <c r="X12" s="180">
        <f ca="1">IF(X$6="","",IF(OR(X$6&gt;'User Inputs'!$F$19,'User Inputs'!$F$8="Storage"),0,_xlfn.IFNA(X9*LOOKUP(X$6,'User Inputs'!$A$55:$A$64,'User Inputs'!$E$55:$E$64)*'User Inputs'!$B$50*(1+'User Inputs'!$D$50)^(X$6-1),0)))</f>
        <v>0</v>
      </c>
      <c r="Y12" s="180">
        <f ca="1">IF(Y$6="","",IF(OR(Y$6&gt;'User Inputs'!$F$19,'User Inputs'!$F$8="Storage"),0,_xlfn.IFNA(Y9*LOOKUP(Y$6,'User Inputs'!$A$55:$A$64,'User Inputs'!$E$55:$E$64)*'User Inputs'!$B$50*(1+'User Inputs'!$D$50)^(Y$6-1),0)))</f>
        <v>0</v>
      </c>
      <c r="Z12" s="180">
        <f ca="1">IF(Z$6="","",IF(OR(Z$6&gt;'User Inputs'!$F$19,'User Inputs'!$F$8="Storage"),0,_xlfn.IFNA(Z9*LOOKUP(Z$6,'User Inputs'!$A$55:$A$64,'User Inputs'!$E$55:$E$64)*'User Inputs'!$B$50*(1+'User Inputs'!$D$50)^(Z$6-1),0)))</f>
        <v>0</v>
      </c>
      <c r="AA12" s="180">
        <f ca="1">IF(AA$6="","",IF(OR(AA$6&gt;'User Inputs'!$F$19,'User Inputs'!$F$8="Storage"),0,_xlfn.IFNA(AA9*LOOKUP(AA$6,'User Inputs'!$A$55:$A$64,'User Inputs'!$E$55:$E$64)*'User Inputs'!$B$50*(1+'User Inputs'!$D$50)^(AA$6-1),0)))</f>
        <v>0</v>
      </c>
      <c r="AB12" s="180">
        <f ca="1">IF(AB$6="","",IF(OR(AB$6&gt;'User Inputs'!$F$19,'User Inputs'!$F$8="Storage"),0,_xlfn.IFNA(AB9*LOOKUP(AB$6,'User Inputs'!$A$55:$A$64,'User Inputs'!$E$55:$E$64)*'User Inputs'!$B$50*(1+'User Inputs'!$D$50)^(AB$6-1),0)))</f>
        <v>0</v>
      </c>
      <c r="AC12" s="180">
        <f ca="1">IF(AC$6="","",IF(OR(AC$6&gt;'User Inputs'!$F$19,'User Inputs'!$F$8="Storage"),0,_xlfn.IFNA(AC9*LOOKUP(AC$6,'User Inputs'!$A$55:$A$64,'User Inputs'!$E$55:$E$64)*'User Inputs'!$B$50*(1+'User Inputs'!$D$50)^(AC$6-1),0)))</f>
        <v>0</v>
      </c>
      <c r="AD12" s="180">
        <f ca="1">IF(AD$6="","",IF(OR(AD$6&gt;'User Inputs'!$F$19,'User Inputs'!$F$8="Storage"),0,_xlfn.IFNA(AD9*LOOKUP(AD$6,'User Inputs'!$A$55:$A$64,'User Inputs'!$E$55:$E$64)*'User Inputs'!$B$50*(1+'User Inputs'!$D$50)^(AD$6-1),0)))</f>
        <v>0</v>
      </c>
      <c r="AE12" s="180">
        <f ca="1">IF(AE$6="","",IF(OR(AE$6&gt;'User Inputs'!$F$19,'User Inputs'!$F$8="Storage"),0,_xlfn.IFNA(AE9*LOOKUP(AE$6,'User Inputs'!$A$55:$A$64,'User Inputs'!$E$55:$E$64)*'User Inputs'!$B$50*(1+'User Inputs'!$D$50)^(AE$6-1),0)))</f>
        <v>0</v>
      </c>
      <c r="AF12" s="180">
        <f ca="1">IF(AF$6="","",IF(OR(AF$6&gt;'User Inputs'!$F$19,'User Inputs'!$F$8="Storage"),0,_xlfn.IFNA(AF9*LOOKUP(AF$6,'User Inputs'!$A$55:$A$64,'User Inputs'!$E$55:$E$64)*'User Inputs'!$B$50*(1+'User Inputs'!$D$50)^(AF$6-1),0)))</f>
        <v>0</v>
      </c>
      <c r="AG12" s="180">
        <f ca="1">IF(AG$6="","",IF(OR(AG$6&gt;'User Inputs'!$F$19,'User Inputs'!$F$8="Storage"),0,_xlfn.IFNA(AG9*LOOKUP(AG$6,'User Inputs'!$A$55:$A$64,'User Inputs'!$E$55:$E$64)*'User Inputs'!$B$50*(1+'User Inputs'!$D$50)^(AG$6-1),0)))</f>
        <v>0</v>
      </c>
      <c r="AH12" s="180">
        <f ca="1">IF(AH$6="","",IF(OR(AH$6&gt;'User Inputs'!$F$19,'User Inputs'!$F$8="Storage"),0,_xlfn.IFNA(AH9*LOOKUP(AH$6,'User Inputs'!$A$55:$A$64,'User Inputs'!$E$55:$E$64)*'User Inputs'!$B$50*(1+'User Inputs'!$D$50)^(AH$6-1),0)))</f>
        <v>0</v>
      </c>
      <c r="AI12" s="180">
        <f ca="1">IF(AI$6="","",IF(OR(AI$6&gt;'User Inputs'!$F$19,'User Inputs'!$F$8="Storage"),0,_xlfn.IFNA(AI9*LOOKUP(AI$6,'User Inputs'!$A$55:$A$64,'User Inputs'!$E$55:$E$64)*'User Inputs'!$B$50*(1+'User Inputs'!$D$50)^(AI$6-1),0)))</f>
        <v>0</v>
      </c>
      <c r="AJ12" s="180">
        <f ca="1">IF(AJ$6="","",IF(OR(AJ$6&gt;'User Inputs'!$F$19,'User Inputs'!$F$8="Storage"),0,_xlfn.IFNA(AJ9*LOOKUP(AJ$6,'User Inputs'!$A$55:$A$64,'User Inputs'!$E$55:$E$64)*'User Inputs'!$B$50*(1+'User Inputs'!$D$50)^(AJ$6-1),0)))</f>
        <v>0</v>
      </c>
      <c r="AK12" s="180">
        <f ca="1">IF(AK$6="","",IF(OR(AK$6&gt;'User Inputs'!$F$19,'User Inputs'!$F$8="Storage"),0,_xlfn.IFNA(AK9*LOOKUP(AK$6,'User Inputs'!$A$55:$A$64,'User Inputs'!$E$55:$E$64)*'User Inputs'!$B$50*(1+'User Inputs'!$D$50)^(AK$6-1),0)))</f>
        <v>0</v>
      </c>
      <c r="AL12" s="180">
        <f ca="1">IF(AL$6="","",IF(OR(AL$6&gt;'User Inputs'!$F$19,'User Inputs'!$F$8="Storage"),0,_xlfn.IFNA(AL9*LOOKUP(AL$6,'User Inputs'!$A$55:$A$64,'User Inputs'!$E$55:$E$64)*'User Inputs'!$B$50*(1+'User Inputs'!$D$50)^(AL$6-1),0)))</f>
        <v>0</v>
      </c>
      <c r="AM12" s="180">
        <f ca="1">IF(AM$6="","",IF(OR(AM$6&gt;'User Inputs'!$F$19,'User Inputs'!$F$8="Storage"),0,_xlfn.IFNA(AM9*LOOKUP(AM$6,'User Inputs'!$A$55:$A$64,'User Inputs'!$E$55:$E$64)*'User Inputs'!$B$50*(1+'User Inputs'!$D$50)^(AM$6-1),0)))</f>
        <v>0</v>
      </c>
    </row>
    <row r="13" spans="1:39" s="178" customFormat="1" ht="17.100000000000001" customHeight="1">
      <c r="A13" s="16"/>
      <c r="B13" s="168" t="s">
        <v>349</v>
      </c>
      <c r="C13" s="179">
        <f>0</f>
        <v>0</v>
      </c>
      <c r="D13" s="179">
        <f>0</f>
        <v>0</v>
      </c>
      <c r="E13" s="180">
        <f ca="1">IF(OR(E$6&gt;'User Inputs'!$F$19,'User Inputs'!$F$8="Storage"),0,E9*'User Inputs'!$B$66*(1+'User Inputs'!$D$66)^(E$6-1))</f>
        <v>0</v>
      </c>
      <c r="F13" s="180">
        <f ca="1">IF(OR(F$6&gt;'User Inputs'!$F$19,'User Inputs'!$F$8="Storage"),0,F9*'User Inputs'!$B$66*(1+'User Inputs'!$D$66)^(F$6-1))</f>
        <v>0</v>
      </c>
      <c r="G13" s="180">
        <f ca="1">IF(OR(G$6&gt;'User Inputs'!$F$19,'User Inputs'!$F$8="Storage"),0,G9*'User Inputs'!$B$66*(1+'User Inputs'!$D$66)^(G$6-1))</f>
        <v>0</v>
      </c>
      <c r="H13" s="180">
        <f ca="1">IF(OR(H$6&gt;'User Inputs'!$F$19,'User Inputs'!$F$8="Storage"),0,H9*'User Inputs'!$B$66*(1+'User Inputs'!$D$66)^(H$6-1))</f>
        <v>0</v>
      </c>
      <c r="I13" s="180">
        <f ca="1">IF(OR(I$6&gt;'User Inputs'!$F$19,'User Inputs'!$F$8="Storage"),0,I9*'User Inputs'!$B$66*(1+'User Inputs'!$D$66)^(I$6-1))</f>
        <v>0</v>
      </c>
      <c r="J13" s="180">
        <f ca="1">IF(OR(J$6&gt;'User Inputs'!$F$19,'User Inputs'!$F$8="Storage"),0,J9*'User Inputs'!$B$66*(1+'User Inputs'!$D$66)^(J$6-1))</f>
        <v>0</v>
      </c>
      <c r="K13" s="180">
        <f ca="1">IF(OR(K$6&gt;'User Inputs'!$F$19,'User Inputs'!$F$8="Storage"),0,K9*'User Inputs'!$B$66*(1+'User Inputs'!$D$66)^(K$6-1))</f>
        <v>0</v>
      </c>
      <c r="L13" s="180">
        <f ca="1">IF(OR(L$6&gt;'User Inputs'!$F$19,'User Inputs'!$F$8="Storage"),0,L9*'User Inputs'!$B$66*(1+'User Inputs'!$D$66)^(L$6-1))</f>
        <v>0</v>
      </c>
      <c r="M13" s="180">
        <f ca="1">IF(OR(M$6&gt;'User Inputs'!$F$19,'User Inputs'!$F$8="Storage"),0,M9*'User Inputs'!$B$66*(1+'User Inputs'!$D$66)^(M$6-1))</f>
        <v>0</v>
      </c>
      <c r="N13" s="180">
        <f ca="1">IF(OR(N$6&gt;'User Inputs'!$F$19,'User Inputs'!$F$8="Storage"),0,N9*'User Inputs'!$B$66*(1+'User Inputs'!$D$66)^(N$6-1))</f>
        <v>0</v>
      </c>
      <c r="O13" s="180">
        <f ca="1">IF(OR(O$6&gt;'User Inputs'!$F$19,'User Inputs'!$F$8="Storage"),0,O9*'User Inputs'!$B$66*(1+'User Inputs'!$D$66)^(O$6-1))</f>
        <v>0</v>
      </c>
      <c r="P13" s="180">
        <f ca="1">IF(OR(P$6&gt;'User Inputs'!$F$19,'User Inputs'!$F$8="Storage"),0,P9*'User Inputs'!$B$66*(1+'User Inputs'!$D$66)^(P$6-1))</f>
        <v>0</v>
      </c>
      <c r="Q13" s="180">
        <f ca="1">IF(OR(Q$6&gt;'User Inputs'!$F$19,'User Inputs'!$F$8="Storage"),0,Q9*'User Inputs'!$B$66*(1+'User Inputs'!$D$66)^(Q$6-1))</f>
        <v>0</v>
      </c>
      <c r="R13" s="180">
        <f ca="1">IF(OR(R$6&gt;'User Inputs'!$F$19,'User Inputs'!$F$8="Storage"),0,R9*'User Inputs'!$B$66*(1+'User Inputs'!$D$66)^(R$6-1))</f>
        <v>0</v>
      </c>
      <c r="S13" s="180">
        <f ca="1">IF(OR(S$6&gt;'User Inputs'!$F$19,'User Inputs'!$F$8="Storage"),0,S9*'User Inputs'!$B$66*(1+'User Inputs'!$D$66)^(S$6-1))</f>
        <v>0</v>
      </c>
      <c r="T13" s="180">
        <f ca="1">IF(OR(T$6&gt;'User Inputs'!$F$19,'User Inputs'!$F$8="Storage"),0,T9*'User Inputs'!$B$66*(1+'User Inputs'!$D$66)^(T$6-1))</f>
        <v>0</v>
      </c>
      <c r="U13" s="180">
        <f ca="1">IF(OR(U$6&gt;'User Inputs'!$F$19,'User Inputs'!$F$8="Storage"),0,U9*'User Inputs'!$B$66*(1+'User Inputs'!$D$66)^(U$6-1))</f>
        <v>0</v>
      </c>
      <c r="V13" s="180">
        <f ca="1">IF(OR(V$6&gt;'User Inputs'!$F$19,'User Inputs'!$F$8="Storage"),0,V9*'User Inputs'!$B$66*(1+'User Inputs'!$D$66)^(V$6-1))</f>
        <v>0</v>
      </c>
      <c r="W13" s="180">
        <f ca="1">IF(OR(W$6&gt;'User Inputs'!$F$19,'User Inputs'!$F$8="Storage"),0,W9*'User Inputs'!$B$66*(1+'User Inputs'!$D$66)^(W$6-1))</f>
        <v>0</v>
      </c>
      <c r="X13" s="180">
        <f ca="1">IF(OR(X$6&gt;'User Inputs'!$F$19,'User Inputs'!$F$8="Storage"),0,X9*'User Inputs'!$B$66*(1+'User Inputs'!$D$66)^(X$6-1))</f>
        <v>0</v>
      </c>
      <c r="Y13" s="180">
        <f ca="1">IF(OR(Y$6&gt;'User Inputs'!$F$19,'User Inputs'!$F$8="Storage"),0,Y9*'User Inputs'!$B$66*(1+'User Inputs'!$D$66)^(Y$6-1))</f>
        <v>0</v>
      </c>
      <c r="Z13" s="180">
        <f ca="1">IF(OR(Z$6&gt;'User Inputs'!$F$19,'User Inputs'!$F$8="Storage"),0,Z9*'User Inputs'!$B$66*(1+'User Inputs'!$D$66)^(Z$6-1))</f>
        <v>0</v>
      </c>
      <c r="AA13" s="180">
        <f ca="1">IF(OR(AA$6&gt;'User Inputs'!$F$19,'User Inputs'!$F$8="Storage"),0,AA9*'User Inputs'!$B$66*(1+'User Inputs'!$D$66)^(AA$6-1))</f>
        <v>0</v>
      </c>
      <c r="AB13" s="180">
        <f ca="1">IF(OR(AB$6&gt;'User Inputs'!$F$19,'User Inputs'!$F$8="Storage"),0,AB9*'User Inputs'!$B$66*(1+'User Inputs'!$D$66)^(AB$6-1))</f>
        <v>0</v>
      </c>
      <c r="AC13" s="180">
        <f ca="1">IF(OR(AC$6&gt;'User Inputs'!$F$19,'User Inputs'!$F$8="Storage"),0,AC9*'User Inputs'!$B$66*(1+'User Inputs'!$D$66)^(AC$6-1))</f>
        <v>0</v>
      </c>
      <c r="AD13" s="180">
        <f ca="1">IF(OR(AD$6&gt;'User Inputs'!$F$19,'User Inputs'!$F$8="Storage"),0,AD9*'User Inputs'!$B$66*(1+'User Inputs'!$D$66)^(AD$6-1))</f>
        <v>0</v>
      </c>
      <c r="AE13" s="180">
        <f ca="1">IF(OR(AE$6&gt;'User Inputs'!$F$19,'User Inputs'!$F$8="Storage"),0,AE9*'User Inputs'!$B$66*(1+'User Inputs'!$D$66)^(AE$6-1))</f>
        <v>0</v>
      </c>
      <c r="AF13" s="180">
        <f ca="1">IF(OR(AF$6&gt;'User Inputs'!$F$19,'User Inputs'!$F$8="Storage"),0,AF9*'User Inputs'!$B$66*(1+'User Inputs'!$D$66)^(AF$6-1))</f>
        <v>0</v>
      </c>
      <c r="AG13" s="180">
        <f ca="1">IF(OR(AG$6&gt;'User Inputs'!$F$19,'User Inputs'!$F$8="Storage"),0,AG9*'User Inputs'!$B$66*(1+'User Inputs'!$D$66)^(AG$6-1))</f>
        <v>0</v>
      </c>
      <c r="AH13" s="180">
        <f ca="1">IF(OR(AH$6&gt;'User Inputs'!$F$19,'User Inputs'!$F$8="Storage"),0,AH9*'User Inputs'!$B$66*(1+'User Inputs'!$D$66)^(AH$6-1))</f>
        <v>0</v>
      </c>
      <c r="AI13" s="180">
        <f ca="1">IF(OR(AI$6&gt;'User Inputs'!$F$19,'User Inputs'!$F$8="Storage"),0,AI9*'User Inputs'!$B$66*(1+'User Inputs'!$D$66)^(AI$6-1))</f>
        <v>0</v>
      </c>
      <c r="AJ13" s="180">
        <f ca="1">IF(OR(AJ$6&gt;'User Inputs'!$F$19,'User Inputs'!$F$8="Storage"),0,AJ9*'User Inputs'!$B$66*(1+'User Inputs'!$D$66)^(AJ$6-1))</f>
        <v>0</v>
      </c>
      <c r="AK13" s="180">
        <f ca="1">IF(OR(AK$6&gt;'User Inputs'!$F$19,'User Inputs'!$F$8="Storage"),0,AK9*'User Inputs'!$B$66*(1+'User Inputs'!$D$66)^(AK$6-1))</f>
        <v>0</v>
      </c>
      <c r="AL13" s="180">
        <f ca="1">IF(OR(AL$6&gt;'User Inputs'!$F$19,'User Inputs'!$F$8="Storage"),0,AL9*'User Inputs'!$B$66*(1+'User Inputs'!$D$66)^(AL$6-1))</f>
        <v>0</v>
      </c>
      <c r="AM13" s="180">
        <f ca="1">IF(OR(AM$6&gt;'User Inputs'!$F$19,'User Inputs'!$F$8="Storage"),0,AM9*'User Inputs'!$B$66*(1+'User Inputs'!$D$66)^(AM$6-1))</f>
        <v>0</v>
      </c>
    </row>
    <row r="14" spans="1:39" s="178" customFormat="1" ht="17.100000000000001" customHeight="1">
      <c r="A14" s="16"/>
      <c r="B14" s="168" t="s">
        <v>350</v>
      </c>
      <c r="C14" s="179">
        <f>0</f>
        <v>0</v>
      </c>
      <c r="D14" s="179">
        <f>0</f>
        <v>0</v>
      </c>
      <c r="E14" s="180">
        <f ca="1">IF(OR(E$6&lt;1,E$6&gt;'User Inputs'!$F$19,'User Inputs'!$F$8="Storage"),0,
'User Inputs'!$B$19*
IF('User Inputs'!$B$17="Solar PV",'User Inputs'!$H$68,1)*
'User Inputs'!$F$66*
(1+'User Inputs'!$H$66)^(E$6-1)*365)</f>
        <v>0</v>
      </c>
      <c r="F14" s="180">
        <f ca="1">IF(OR(F$6&lt;1,F$6&gt;'User Inputs'!$F$19,'User Inputs'!$F$8="Storage"),0,
'User Inputs'!$B$19*
IF('User Inputs'!$B$17="Solar PV",'User Inputs'!$H$68,1)*
'User Inputs'!$F$66*
(1+'User Inputs'!$H$66)^(F$6-1)*365)</f>
        <v>0</v>
      </c>
      <c r="G14" s="180">
        <f ca="1">IF(OR(G$6&lt;1,G$6&gt;'User Inputs'!$F$19,'User Inputs'!$F$8="Storage"),0,
'User Inputs'!$B$19*
IF('User Inputs'!$B$17="Solar PV",'User Inputs'!$H$68,1)*
'User Inputs'!$F$66*
(1+'User Inputs'!$H$66)^(G$6-1)*365)</f>
        <v>0</v>
      </c>
      <c r="H14" s="180">
        <f ca="1">IF(OR(H$6&lt;1,H$6&gt;'User Inputs'!$F$19,'User Inputs'!$F$8="Storage"),0,
'User Inputs'!$B$19*
IF('User Inputs'!$B$17="Solar PV",'User Inputs'!$H$68,1)*
'User Inputs'!$F$66*
(1+'User Inputs'!$H$66)^(H$6-1)*365)</f>
        <v>0</v>
      </c>
      <c r="I14" s="180">
        <f ca="1">IF(OR(I$6&lt;1,I$6&gt;'User Inputs'!$F$19,'User Inputs'!$F$8="Storage"),0,
'User Inputs'!$B$19*
IF('User Inputs'!$B$17="Solar PV",'User Inputs'!$H$68,1)*
'User Inputs'!$F$66*
(1+'User Inputs'!$H$66)^(I$6-1)*365)</f>
        <v>0</v>
      </c>
      <c r="J14" s="180">
        <f ca="1">IF(OR(J$6&lt;1,J$6&gt;'User Inputs'!$F$19,'User Inputs'!$F$8="Storage"),0,
'User Inputs'!$B$19*
IF('User Inputs'!$B$17="Solar PV",'User Inputs'!$H$68,1)*
'User Inputs'!$F$66*
(1+'User Inputs'!$H$66)^(J$6-1)*365)</f>
        <v>0</v>
      </c>
      <c r="K14" s="180">
        <f ca="1">IF(OR(K$6&lt;1,K$6&gt;'User Inputs'!$F$19,'User Inputs'!$F$8="Storage"),0,
'User Inputs'!$B$19*
IF('User Inputs'!$B$17="Solar PV",'User Inputs'!$H$68,1)*
'User Inputs'!$F$66*
(1+'User Inputs'!$H$66)^(K$6-1)*365)</f>
        <v>0</v>
      </c>
      <c r="L14" s="180">
        <f ca="1">IF(OR(L$6&lt;1,L$6&gt;'User Inputs'!$F$19,'User Inputs'!$F$8="Storage"),0,
'User Inputs'!$B$19*
IF('User Inputs'!$B$17="Solar PV",'User Inputs'!$H$68,1)*
'User Inputs'!$F$66*
(1+'User Inputs'!$H$66)^(L$6-1)*365)</f>
        <v>0</v>
      </c>
      <c r="M14" s="180">
        <f ca="1">IF(OR(M$6&lt;1,M$6&gt;'User Inputs'!$F$19,'User Inputs'!$F$8="Storage"),0,
'User Inputs'!$B$19*
IF('User Inputs'!$B$17="Solar PV",'User Inputs'!$H$68,1)*
'User Inputs'!$F$66*
(1+'User Inputs'!$H$66)^(M$6-1)*365)</f>
        <v>0</v>
      </c>
      <c r="N14" s="180">
        <f ca="1">IF(OR(N$6&lt;1,N$6&gt;'User Inputs'!$F$19,'User Inputs'!$F$8="Storage"),0,
'User Inputs'!$B$19*
IF('User Inputs'!$B$17="Solar PV",'User Inputs'!$H$68,1)*
'User Inputs'!$F$66*
(1+'User Inputs'!$H$66)^(N$6-1)*365)</f>
        <v>0</v>
      </c>
      <c r="O14" s="180">
        <f ca="1">IF(OR(O$6&lt;1,O$6&gt;'User Inputs'!$F$19,'User Inputs'!$F$8="Storage"),0,
'User Inputs'!$B$19*
IF('User Inputs'!$B$17="Solar PV",'User Inputs'!$H$68,1)*
'User Inputs'!$F$66*
(1+'User Inputs'!$H$66)^(O$6-1)*365)</f>
        <v>0</v>
      </c>
      <c r="P14" s="180">
        <f ca="1">IF(OR(P$6&lt;1,P$6&gt;'User Inputs'!$F$19,'User Inputs'!$F$8="Storage"),0,
'User Inputs'!$B$19*
IF('User Inputs'!$B$17="Solar PV",'User Inputs'!$H$68,1)*
'User Inputs'!$F$66*
(1+'User Inputs'!$H$66)^(P$6-1)*365)</f>
        <v>0</v>
      </c>
      <c r="Q14" s="180">
        <f ca="1">IF(OR(Q$6&lt;1,Q$6&gt;'User Inputs'!$F$19,'User Inputs'!$F$8="Storage"),0,
'User Inputs'!$B$19*
IF('User Inputs'!$B$17="Solar PV",'User Inputs'!$H$68,1)*
'User Inputs'!$F$66*
(1+'User Inputs'!$H$66)^(Q$6-1)*365)</f>
        <v>0</v>
      </c>
      <c r="R14" s="180">
        <f ca="1">IF(OR(R$6&lt;1,R$6&gt;'User Inputs'!$F$19,'User Inputs'!$F$8="Storage"),0,
'User Inputs'!$B$19*
IF('User Inputs'!$B$17="Solar PV",'User Inputs'!$H$68,1)*
'User Inputs'!$F$66*
(1+'User Inputs'!$H$66)^(R$6-1)*365)</f>
        <v>0</v>
      </c>
      <c r="S14" s="180">
        <f ca="1">IF(OR(S$6&lt;1,S$6&gt;'User Inputs'!$F$19,'User Inputs'!$F$8="Storage"),0,
'User Inputs'!$B$19*
IF('User Inputs'!$B$17="Solar PV",'User Inputs'!$H$68,1)*
'User Inputs'!$F$66*
(1+'User Inputs'!$H$66)^(S$6-1)*365)</f>
        <v>0</v>
      </c>
      <c r="T14" s="180">
        <f ca="1">IF(OR(T$6&lt;1,T$6&gt;'User Inputs'!$F$19,'User Inputs'!$F$8="Storage"),0,
'User Inputs'!$B$19*
IF('User Inputs'!$B$17="Solar PV",'User Inputs'!$H$68,1)*
'User Inputs'!$F$66*
(1+'User Inputs'!$H$66)^(T$6-1)*365)</f>
        <v>0</v>
      </c>
      <c r="U14" s="180">
        <f ca="1">IF(OR(U$6&lt;1,U$6&gt;'User Inputs'!$F$19,'User Inputs'!$F$8="Storage"),0,
'User Inputs'!$B$19*
IF('User Inputs'!$B$17="Solar PV",'User Inputs'!$H$68,1)*
'User Inputs'!$F$66*
(1+'User Inputs'!$H$66)^(U$6-1)*365)</f>
        <v>0</v>
      </c>
      <c r="V14" s="180">
        <f ca="1">IF(OR(V$6&lt;1,V$6&gt;'User Inputs'!$F$19,'User Inputs'!$F$8="Storage"),0,
'User Inputs'!$B$19*
IF('User Inputs'!$B$17="Solar PV",'User Inputs'!$H$68,1)*
'User Inputs'!$F$66*
(1+'User Inputs'!$H$66)^(V$6-1)*365)</f>
        <v>0</v>
      </c>
      <c r="W14" s="180">
        <f ca="1">IF(OR(W$6&lt;1,W$6&gt;'User Inputs'!$F$19,'User Inputs'!$F$8="Storage"),0,
'User Inputs'!$B$19*
IF('User Inputs'!$B$17="Solar PV",'User Inputs'!$H$68,1)*
'User Inputs'!$F$66*
(1+'User Inputs'!$H$66)^(W$6-1)*365)</f>
        <v>0</v>
      </c>
      <c r="X14" s="180">
        <f ca="1">IF(OR(X$6&lt;1,X$6&gt;'User Inputs'!$F$19,'User Inputs'!$F$8="Storage"),0,
'User Inputs'!$B$19*
IF('User Inputs'!$B$17="Solar PV",'User Inputs'!$H$68,1)*
'User Inputs'!$F$66*
(1+'User Inputs'!$H$66)^(X$6-1)*365)</f>
        <v>0</v>
      </c>
      <c r="Y14" s="180">
        <f ca="1">IF(OR(Y$6&lt;1,Y$6&gt;'User Inputs'!$F$19,'User Inputs'!$F$8="Storage"),0,
'User Inputs'!$B$19*
IF('User Inputs'!$B$17="Solar PV",'User Inputs'!$H$68,1)*
'User Inputs'!$F$66*
(1+'User Inputs'!$H$66)^(Y$6-1)*365)</f>
        <v>0</v>
      </c>
      <c r="Z14" s="180">
        <f ca="1">IF(OR(Z$6&lt;1,Z$6&gt;'User Inputs'!$F$19,'User Inputs'!$F$8="Storage"),0,
'User Inputs'!$B$19*
IF('User Inputs'!$B$17="Solar PV",'User Inputs'!$H$68,1)*
'User Inputs'!$F$66*
(1+'User Inputs'!$H$66)^(Z$6-1)*365)</f>
        <v>0</v>
      </c>
      <c r="AA14" s="180">
        <f ca="1">IF(OR(AA$6&lt;1,AA$6&gt;'User Inputs'!$F$19,'User Inputs'!$F$8="Storage"),0,
'User Inputs'!$B$19*
IF('User Inputs'!$B$17="Solar PV",'User Inputs'!$H$68,1)*
'User Inputs'!$F$66*
(1+'User Inputs'!$H$66)^(AA$6-1)*365)</f>
        <v>0</v>
      </c>
      <c r="AB14" s="180">
        <f ca="1">IF(OR(AB$6&lt;1,AB$6&gt;'User Inputs'!$F$19,'User Inputs'!$F$8="Storage"),0,
'User Inputs'!$B$19*
IF('User Inputs'!$B$17="Solar PV",'User Inputs'!$H$68,1)*
'User Inputs'!$F$66*
(1+'User Inputs'!$H$66)^(AB$6-1)*365)</f>
        <v>0</v>
      </c>
      <c r="AC14" s="180">
        <f ca="1">IF(OR(AC$6&lt;1,AC$6&gt;'User Inputs'!$F$19,'User Inputs'!$F$8="Storage"),0,
'User Inputs'!$B$19*
IF('User Inputs'!$B$17="Solar PV",'User Inputs'!$H$68,1)*
'User Inputs'!$F$66*
(1+'User Inputs'!$H$66)^(AC$6-1)*365)</f>
        <v>0</v>
      </c>
      <c r="AD14" s="180">
        <f ca="1">IF(OR(AD$6&lt;1,AD$6&gt;'User Inputs'!$F$19,'User Inputs'!$F$8="Storage"),0,
'User Inputs'!$B$19*
IF('User Inputs'!$B$17="Solar PV",'User Inputs'!$H$68,1)*
'User Inputs'!$F$66*
(1+'User Inputs'!$H$66)^(AD$6-1)*365)</f>
        <v>0</v>
      </c>
      <c r="AE14" s="180">
        <f ca="1">IF(OR(AE$6&lt;1,AE$6&gt;'User Inputs'!$F$19,'User Inputs'!$F$8="Storage"),0,
'User Inputs'!$B$19*
IF('User Inputs'!$B$17="Solar PV",'User Inputs'!$H$68,1)*
'User Inputs'!$F$66*
(1+'User Inputs'!$H$66)^(AE$6-1)*365)</f>
        <v>0</v>
      </c>
      <c r="AF14" s="180">
        <f ca="1">IF(OR(AF$6&lt;1,AF$6&gt;'User Inputs'!$F$19,'User Inputs'!$F$8="Storage"),0,
'User Inputs'!$B$19*
IF('User Inputs'!$B$17="Solar PV",'User Inputs'!$H$68,1)*
'User Inputs'!$F$66*
(1+'User Inputs'!$H$66)^(AF$6-1)*365)</f>
        <v>0</v>
      </c>
      <c r="AG14" s="180">
        <f ca="1">IF(OR(AG$6&lt;1,AG$6&gt;'User Inputs'!$F$19,'User Inputs'!$F$8="Storage"),0,
'User Inputs'!$B$19*
IF('User Inputs'!$B$17="Solar PV",'User Inputs'!$H$68,1)*
'User Inputs'!$F$66*
(1+'User Inputs'!$H$66)^(AG$6-1)*365)</f>
        <v>0</v>
      </c>
      <c r="AH14" s="180">
        <f ca="1">IF(OR(AH$6&lt;1,AH$6&gt;'User Inputs'!$F$19,'User Inputs'!$F$8="Storage"),0,
'User Inputs'!$B$19*
IF('User Inputs'!$B$17="Solar PV",'User Inputs'!$H$68,1)*
'User Inputs'!$F$66*
(1+'User Inputs'!$H$66)^(AH$6-1)*365)</f>
        <v>0</v>
      </c>
      <c r="AI14" s="180">
        <f ca="1">IF(OR(AI$6&lt;1,AI$6&gt;'User Inputs'!$F$19,'User Inputs'!$F$8="Storage"),0,
'User Inputs'!$B$19*
IF('User Inputs'!$B$17="Solar PV",'User Inputs'!$H$68,1)*
'User Inputs'!$F$66*
(1+'User Inputs'!$H$66)^(AI$6-1)*365)</f>
        <v>0</v>
      </c>
      <c r="AJ14" s="180">
        <f ca="1">IF(OR(AJ$6&lt;1,AJ$6&gt;'User Inputs'!$F$19,'User Inputs'!$F$8="Storage"),0,
'User Inputs'!$B$19*
IF('User Inputs'!$B$17="Solar PV",'User Inputs'!$H$68,1)*
'User Inputs'!$F$66*
(1+'User Inputs'!$H$66)^(AJ$6-1)*365)</f>
        <v>0</v>
      </c>
      <c r="AK14" s="180">
        <f ca="1">IF(OR(AK$6&lt;1,AK$6&gt;'User Inputs'!$F$19,'User Inputs'!$F$8="Storage"),0,
'User Inputs'!$B$19*
IF('User Inputs'!$B$17="Solar PV",'User Inputs'!$H$68,1)*
'User Inputs'!$F$66*
(1+'User Inputs'!$H$66)^(AK$6-1)*365)</f>
        <v>0</v>
      </c>
      <c r="AL14" s="180">
        <f ca="1">IF(OR(AL$6&lt;1,AL$6&gt;'User Inputs'!$F$19,'User Inputs'!$F$8="Storage"),0,
'User Inputs'!$B$19*
IF('User Inputs'!$B$17="Solar PV",'User Inputs'!$H$68,1)*
'User Inputs'!$F$66*
(1+'User Inputs'!$H$66)^(AL$6-1)*365)</f>
        <v>0</v>
      </c>
      <c r="AM14" s="180">
        <f ca="1">IF(OR(AM$6&lt;1,AM$6&gt;'User Inputs'!$F$19,'User Inputs'!$F$8="Storage"),0,
'User Inputs'!$B$19*
IF('User Inputs'!$B$17="Solar PV",'User Inputs'!$H$68,1)*
'User Inputs'!$F$66*
(1+'User Inputs'!$H$66)^(AM$6-1)*365)</f>
        <v>0</v>
      </c>
    </row>
    <row r="15" spans="1:39" s="178" customFormat="1" ht="17.100000000000001" customHeight="1">
      <c r="A15" s="16"/>
      <c r="B15" s="168" t="s">
        <v>351</v>
      </c>
      <c r="C15" s="179">
        <f>0</f>
        <v>0</v>
      </c>
      <c r="D15" s="179">
        <f>0</f>
        <v>0</v>
      </c>
      <c r="E15" s="180">
        <f ca="1">IF(OR(E$6&lt;1,E$6&gt;'User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Inputs'!$H$41)^(E$6-1))</f>
        <v>0</v>
      </c>
      <c r="F15" s="180">
        <f ca="1">IF(OR(F$6&lt;1,F$6&gt;'User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Inputs'!$H$41)^(F$6-1))</f>
        <v>0</v>
      </c>
      <c r="G15" s="180">
        <f ca="1">IF(OR(G$6&lt;1,G$6&gt;'User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Inputs'!$H$41)^(G$6-1))</f>
        <v>0</v>
      </c>
      <c r="H15" s="180">
        <f ca="1">IF(OR(H$6&lt;1,H$6&gt;'User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Inputs'!$H$41)^(H$6-1))</f>
        <v>0</v>
      </c>
      <c r="I15" s="180">
        <f ca="1">IF(OR(I$6&lt;1,I$6&gt;'User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Inputs'!$H$41)^(I$6-1))</f>
        <v>0</v>
      </c>
      <c r="J15" s="180">
        <f ca="1">IF(OR(J$6&lt;1,J$6&gt;'User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Inputs'!$H$41)^(J$6-1))</f>
        <v>0</v>
      </c>
      <c r="K15" s="180">
        <f ca="1">IF(OR(K$6&lt;1,K$6&gt;'User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Inputs'!$H$41)^(K$6-1))</f>
        <v>0</v>
      </c>
      <c r="L15" s="180">
        <f ca="1">IF(OR(L$6&lt;1,L$6&gt;'User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Inputs'!$H$41)^(L$6-1))</f>
        <v>0</v>
      </c>
      <c r="M15" s="180">
        <f ca="1">IF(OR(M$6&lt;1,M$6&gt;'User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Inputs'!$H$41)^(M$6-1))</f>
        <v>0</v>
      </c>
      <c r="N15" s="180">
        <f ca="1">IF(OR(N$6&lt;1,N$6&gt;'User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Inputs'!$H$41)^(N$6-1))</f>
        <v>0</v>
      </c>
      <c r="O15" s="180">
        <f ca="1">IF(OR(O$6&lt;1,O$6&gt;'User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Inputs'!$H$41)^(O$6-1))</f>
        <v>0</v>
      </c>
      <c r="P15" s="180">
        <f ca="1">IF(OR(P$6&lt;1,P$6&gt;'User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Inputs'!$H$41)^(P$6-1))</f>
        <v>0</v>
      </c>
      <c r="Q15" s="180">
        <f ca="1">IF(OR(Q$6&lt;1,Q$6&gt;'User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Inputs'!$H$41)^(Q$6-1))</f>
        <v>0</v>
      </c>
      <c r="R15" s="180">
        <f ca="1">IF(OR(R$6&lt;1,R$6&gt;'User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Inputs'!$H$41)^(R$6-1))</f>
        <v>0</v>
      </c>
      <c r="S15" s="180">
        <f ca="1">IF(OR(S$6&lt;1,S$6&gt;'User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Inputs'!$H$41)^(S$6-1))</f>
        <v>0</v>
      </c>
      <c r="T15" s="180">
        <f ca="1">IF(OR(T$6&lt;1,T$6&gt;'User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Inputs'!$H$41)^(T$6-1))</f>
        <v>0</v>
      </c>
      <c r="U15" s="180">
        <f ca="1">IF(OR(U$6&lt;1,U$6&gt;'User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Inputs'!$H$41)^(U$6-1))</f>
        <v>0</v>
      </c>
      <c r="V15" s="180">
        <f ca="1">IF(OR(V$6&lt;1,V$6&gt;'User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Inputs'!$H$41)^(V$6-1))</f>
        <v>0</v>
      </c>
      <c r="W15" s="180">
        <f ca="1">IF(OR(W$6&lt;1,W$6&gt;'User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Inputs'!$H$41)^(W$6-1))</f>
        <v>0</v>
      </c>
      <c r="X15" s="180">
        <f ca="1">IF(OR(X$6&lt;1,X$6&gt;'User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Inputs'!$H$41)^(X$6-1))</f>
        <v>0</v>
      </c>
      <c r="Y15" s="180">
        <f ca="1">IF(OR(Y$6&lt;1,Y$6&gt;'User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Inputs'!$H$41)^(Y$6-1))</f>
        <v>0</v>
      </c>
      <c r="Z15" s="180">
        <f ca="1">IF(OR(Z$6&lt;1,Z$6&gt;'User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Inputs'!$H$41)^(Z$6-1))</f>
        <v>0</v>
      </c>
      <c r="AA15" s="180">
        <f ca="1">IF(OR(AA$6&lt;1,AA$6&gt;'User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Inputs'!$H$41)^(AA$6-1))</f>
        <v>0</v>
      </c>
      <c r="AB15" s="180">
        <f ca="1">IF(OR(AB$6&lt;1,AB$6&gt;'User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Inputs'!$H$41)^(AB$6-1))</f>
        <v>0</v>
      </c>
      <c r="AC15" s="180">
        <f ca="1">IF(OR(AC$6&lt;1,AC$6&gt;'User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Inputs'!$H$41)^(AC$6-1))</f>
        <v>0</v>
      </c>
      <c r="AD15" s="180">
        <f ca="1">IF(OR(AD$6&lt;1,AD$6&gt;'User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Inputs'!$H$41)^(AD$6-1))</f>
        <v>0</v>
      </c>
      <c r="AE15" s="180">
        <f ca="1">IF(OR(AE$6&lt;1,AE$6&gt;'User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Inputs'!$H$41)^(AE$6-1))</f>
        <v>0</v>
      </c>
      <c r="AF15" s="180">
        <f ca="1">IF(OR(AF$6&lt;1,AF$6&gt;'User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Inputs'!$H$41)^(AF$6-1))</f>
        <v>0</v>
      </c>
      <c r="AG15" s="180">
        <f ca="1">IF(OR(AG$6&lt;1,AG$6&gt;'User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Inputs'!$H$41)^(AG$6-1))</f>
        <v>0</v>
      </c>
      <c r="AH15" s="180">
        <f ca="1">IF(OR(AH$6&lt;1,AH$6&gt;'User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Inputs'!$H$41)^(AH$6-1))</f>
        <v>0</v>
      </c>
      <c r="AI15" s="180">
        <f ca="1">IF(OR(AI$6&lt;1,AI$6&gt;'User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Inputs'!$H$41)^(AI$6-1))</f>
        <v>0</v>
      </c>
      <c r="AJ15" s="180">
        <f ca="1">IF(OR(AJ$6&lt;1,AJ$6&gt;'User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Inputs'!$H$41)^(AJ$6-1))</f>
        <v>0</v>
      </c>
      <c r="AK15" s="180">
        <f ca="1">IF(OR(AK$6&lt;1,AK$6&gt;'User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Inputs'!$H$41)^(AK$6-1))</f>
        <v>0</v>
      </c>
      <c r="AL15" s="180">
        <f ca="1">IF(OR(AL$6&lt;1,AL$6&gt;'User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Inputs'!$H$41)^(AL$6-1))</f>
        <v>0</v>
      </c>
      <c r="AM15" s="180">
        <f ca="1">IF(OR(AM$6&lt;1,AM$6&gt;'User Inputs'!$F$19,
'User Inputs'!$F$8="Storage",
AND('User Inputs'!$B$17&lt;&gt;"Solar Thermal",
'User Inputs'!$B$17&lt;&gt;"Wastewater-to-Heat",
'User Inputs'!$B$17&lt;&gt;"Poultry Litter-to-Energy",
'User Inputs'!$B$17&lt;&gt;"Geothermal",
'User Inputs'!$B$17&lt;&gt;"Biomass",
'User Inputs'!$B$17&lt;&gt;"Fuel Cell",
'User Inputs'!$B$17&lt;&gt;"Methane-from-Waste")),0,
'User Inputs'!$B$19*
'User Inputs'!$D$41*
'User Inputs'!$F$41*
(1+'User Inputs'!$H$41)^(AM$6-1))</f>
        <v>0</v>
      </c>
    </row>
    <row r="16" spans="1:39" s="178" customFormat="1" ht="17.100000000000001" customHeight="1">
      <c r="A16" s="16"/>
      <c r="B16" s="168" t="s">
        <v>352</v>
      </c>
      <c r="C16" s="179">
        <f>0</f>
        <v>0</v>
      </c>
      <c r="D16" s="179">
        <f>0</f>
        <v>0</v>
      </c>
      <c r="E16" s="180">
        <f ca="1">IF(OR(E$6&lt;1,E$6&gt;'User Inputs'!$F$19,
'User Inputs'!$F$8="Storage"),0,
IF(OR('User Inputs'!$B$17="Poultry Litter-to-Energy",
'User Inputs'!$B$17="Methane-from-Waste",
'User Inputs'!$B$17="Biomass"),
E9*'User Inputs'!$H$43,0)
+'User Inputs'!$B$45*
(1+'User Inputs'!$D$45)^(E$6-1))</f>
        <v>0</v>
      </c>
      <c r="F16" s="180">
        <f ca="1">IF(OR(F$6&lt;1,F$6&gt;'User Inputs'!$F$19,
'User Inputs'!$F$8="Storage"),0,
IF(OR('User Inputs'!$B$17="Poultry Litter-to-Energy",
'User Inputs'!$B$17="Methane-from-Waste",
'User Inputs'!$B$17="Biomass"),
F9*'User Inputs'!$H$43,0)
+'User Inputs'!$B$45*
(1+'User Inputs'!$D$45)^(F$6-1))</f>
        <v>0</v>
      </c>
      <c r="G16" s="180">
        <f ca="1">IF(OR(G$6&lt;1,G$6&gt;'User Inputs'!$F$19,
'User Inputs'!$F$8="Storage"),0,
IF(OR('User Inputs'!$B$17="Poultry Litter-to-Energy",
'User Inputs'!$B$17="Methane-from-Waste",
'User Inputs'!$B$17="Biomass"),
G9*'User Inputs'!$H$43,0)
+'User Inputs'!$B$45*
(1+'User Inputs'!$D$45)^(G$6-1))</f>
        <v>0</v>
      </c>
      <c r="H16" s="180">
        <f ca="1">IF(OR(H$6&lt;1,H$6&gt;'User Inputs'!$F$19,
'User Inputs'!$F$8="Storage"),0,
IF(OR('User Inputs'!$B$17="Poultry Litter-to-Energy",
'User Inputs'!$B$17="Methane-from-Waste",
'User Inputs'!$B$17="Biomass"),
H9*'User Inputs'!$H$43,0)
+'User Inputs'!$B$45*
(1+'User Inputs'!$D$45)^(H$6-1))</f>
        <v>0</v>
      </c>
      <c r="I16" s="180">
        <f ca="1">IF(OR(I$6&lt;1,I$6&gt;'User Inputs'!$F$19,
'User Inputs'!$F$8="Storage"),0,
IF(OR('User Inputs'!$B$17="Poultry Litter-to-Energy",
'User Inputs'!$B$17="Methane-from-Waste",
'User Inputs'!$B$17="Biomass"),
I9*'User Inputs'!$H$43,0)
+'User Inputs'!$B$45*
(1+'User Inputs'!$D$45)^(I$6-1))</f>
        <v>0</v>
      </c>
      <c r="J16" s="180">
        <f ca="1">IF(OR(J$6&lt;1,J$6&gt;'User Inputs'!$F$19,
'User Inputs'!$F$8="Storage"),0,
IF(OR('User Inputs'!$B$17="Poultry Litter-to-Energy",
'User Inputs'!$B$17="Methane-from-Waste",
'User Inputs'!$B$17="Biomass"),
J9*'User Inputs'!$H$43,0)
+'User Inputs'!$B$45*
(1+'User Inputs'!$D$45)^(J$6-1))</f>
        <v>0</v>
      </c>
      <c r="K16" s="180">
        <f ca="1">IF(OR(K$6&lt;1,K$6&gt;'User Inputs'!$F$19,
'User Inputs'!$F$8="Storage"),0,
IF(OR('User Inputs'!$B$17="Poultry Litter-to-Energy",
'User Inputs'!$B$17="Methane-from-Waste",
'User Inputs'!$B$17="Biomass"),
K9*'User Inputs'!$H$43,0)
+'User Inputs'!$B$45*
(1+'User Inputs'!$D$45)^(K$6-1))</f>
        <v>0</v>
      </c>
      <c r="L16" s="180">
        <f ca="1">IF(OR(L$6&lt;1,L$6&gt;'User Inputs'!$F$19,
'User Inputs'!$F$8="Storage"),0,
IF(OR('User Inputs'!$B$17="Poultry Litter-to-Energy",
'User Inputs'!$B$17="Methane-from-Waste",
'User Inputs'!$B$17="Biomass"),
L9*'User Inputs'!$H$43,0)
+'User Inputs'!$B$45*
(1+'User Inputs'!$D$45)^(L$6-1))</f>
        <v>0</v>
      </c>
      <c r="M16" s="180">
        <f ca="1">IF(OR(M$6&lt;1,M$6&gt;'User Inputs'!$F$19,
'User Inputs'!$F$8="Storage"),0,
IF(OR('User Inputs'!$B$17="Poultry Litter-to-Energy",
'User Inputs'!$B$17="Methane-from-Waste",
'User Inputs'!$B$17="Biomass"),
M9*'User Inputs'!$H$43,0)
+'User Inputs'!$B$45*
(1+'User Inputs'!$D$45)^(M$6-1))</f>
        <v>0</v>
      </c>
      <c r="N16" s="180">
        <f ca="1">IF(OR(N$6&lt;1,N$6&gt;'User Inputs'!$F$19,
'User Inputs'!$F$8="Storage"),0,
IF(OR('User Inputs'!$B$17="Poultry Litter-to-Energy",
'User Inputs'!$B$17="Methane-from-Waste",
'User Inputs'!$B$17="Biomass"),
N9*'User Inputs'!$H$43,0)
+'User Inputs'!$B$45*
(1+'User Inputs'!$D$45)^(N$6-1))</f>
        <v>0</v>
      </c>
      <c r="O16" s="180">
        <f ca="1">IF(OR(O$6&lt;1,O$6&gt;'User Inputs'!$F$19,
'User Inputs'!$F$8="Storage"),0,
IF(OR('User Inputs'!$B$17="Poultry Litter-to-Energy",
'User Inputs'!$B$17="Methane-from-Waste",
'User Inputs'!$B$17="Biomass"),
O9*'User Inputs'!$H$43,0)
+'User Inputs'!$B$45*
(1+'User Inputs'!$D$45)^(O$6-1))</f>
        <v>0</v>
      </c>
      <c r="P16" s="180">
        <f ca="1">IF(OR(P$6&lt;1,P$6&gt;'User Inputs'!$F$19,
'User Inputs'!$F$8="Storage"),0,
IF(OR('User Inputs'!$B$17="Poultry Litter-to-Energy",
'User Inputs'!$B$17="Methane-from-Waste",
'User Inputs'!$B$17="Biomass"),
P9*'User Inputs'!$H$43,0)
+'User Inputs'!$B$45*
(1+'User Inputs'!$D$45)^(P$6-1))</f>
        <v>0</v>
      </c>
      <c r="Q16" s="180">
        <f ca="1">IF(OR(Q$6&lt;1,Q$6&gt;'User Inputs'!$F$19,
'User Inputs'!$F$8="Storage"),0,
IF(OR('User Inputs'!$B$17="Poultry Litter-to-Energy",
'User Inputs'!$B$17="Methane-from-Waste",
'User Inputs'!$B$17="Biomass"),
Q9*'User Inputs'!$H$43,0)
+'User Inputs'!$B$45*
(1+'User Inputs'!$D$45)^(Q$6-1))</f>
        <v>0</v>
      </c>
      <c r="R16" s="180">
        <f ca="1">IF(OR(R$6&lt;1,R$6&gt;'User Inputs'!$F$19,
'User Inputs'!$F$8="Storage"),0,
IF(OR('User Inputs'!$B$17="Poultry Litter-to-Energy",
'User Inputs'!$B$17="Methane-from-Waste",
'User Inputs'!$B$17="Biomass"),
R9*'User Inputs'!$H$43,0)
+'User Inputs'!$B$45*
(1+'User Inputs'!$D$45)^(R$6-1))</f>
        <v>0</v>
      </c>
      <c r="S16" s="180">
        <f ca="1">IF(OR(S$6&lt;1,S$6&gt;'User Inputs'!$F$19,
'User Inputs'!$F$8="Storage"),0,
IF(OR('User Inputs'!$B$17="Poultry Litter-to-Energy",
'User Inputs'!$B$17="Methane-from-Waste",
'User Inputs'!$B$17="Biomass"),
S9*'User Inputs'!$H$43,0)
+'User Inputs'!$B$45*
(1+'User Inputs'!$D$45)^(S$6-1))</f>
        <v>0</v>
      </c>
      <c r="T16" s="180">
        <f ca="1">IF(OR(T$6&lt;1,T$6&gt;'User Inputs'!$F$19,
'User Inputs'!$F$8="Storage"),0,
IF(OR('User Inputs'!$B$17="Poultry Litter-to-Energy",
'User Inputs'!$B$17="Methane-from-Waste",
'User Inputs'!$B$17="Biomass"),
T9*'User Inputs'!$H$43,0)
+'User Inputs'!$B$45*
(1+'User Inputs'!$D$45)^(T$6-1))</f>
        <v>0</v>
      </c>
      <c r="U16" s="180">
        <f ca="1">IF(OR(U$6&lt;1,U$6&gt;'User Inputs'!$F$19,
'User Inputs'!$F$8="Storage"),0,
IF(OR('User Inputs'!$B$17="Poultry Litter-to-Energy",
'User Inputs'!$B$17="Methane-from-Waste",
'User Inputs'!$B$17="Biomass"),
U9*'User Inputs'!$H$43,0)
+'User Inputs'!$B$45*
(1+'User Inputs'!$D$45)^(U$6-1))</f>
        <v>0</v>
      </c>
      <c r="V16" s="180">
        <f ca="1">IF(OR(V$6&lt;1,V$6&gt;'User Inputs'!$F$19,
'User Inputs'!$F$8="Storage"),0,
IF(OR('User Inputs'!$B$17="Poultry Litter-to-Energy",
'User Inputs'!$B$17="Methane-from-Waste",
'User Inputs'!$B$17="Biomass"),
V9*'User Inputs'!$H$43,0)
+'User Inputs'!$B$45*
(1+'User Inputs'!$D$45)^(V$6-1))</f>
        <v>0</v>
      </c>
      <c r="W16" s="180">
        <f ca="1">IF(OR(W$6&lt;1,W$6&gt;'User Inputs'!$F$19,
'User Inputs'!$F$8="Storage"),0,
IF(OR('User Inputs'!$B$17="Poultry Litter-to-Energy",
'User Inputs'!$B$17="Methane-from-Waste",
'User Inputs'!$B$17="Biomass"),
W9*'User Inputs'!$H$43,0)
+'User Inputs'!$B$45*
(1+'User Inputs'!$D$45)^(W$6-1))</f>
        <v>0</v>
      </c>
      <c r="X16" s="180">
        <f ca="1">IF(OR(X$6&lt;1,X$6&gt;'User Inputs'!$F$19,
'User Inputs'!$F$8="Storage"),0,
IF(OR('User Inputs'!$B$17="Poultry Litter-to-Energy",
'User Inputs'!$B$17="Methane-from-Waste",
'User Inputs'!$B$17="Biomass"),
X9*'User Inputs'!$H$43,0)
+'User Inputs'!$B$45*
(1+'User Inputs'!$D$45)^(X$6-1))</f>
        <v>0</v>
      </c>
      <c r="Y16" s="180">
        <f ca="1">IF(OR(Y$6&lt;1,Y$6&gt;'User Inputs'!$F$19,
'User Inputs'!$F$8="Storage"),0,
IF(OR('User Inputs'!$B$17="Poultry Litter-to-Energy",
'User Inputs'!$B$17="Methane-from-Waste",
'User Inputs'!$B$17="Biomass"),
Y9*'User Inputs'!$H$43,0)
+'User Inputs'!$B$45*
(1+'User Inputs'!$D$45)^(Y$6-1))</f>
        <v>0</v>
      </c>
      <c r="Z16" s="180">
        <f ca="1">IF(OR(Z$6&lt;1,Z$6&gt;'User Inputs'!$F$19,
'User Inputs'!$F$8="Storage"),0,
IF(OR('User Inputs'!$B$17="Poultry Litter-to-Energy",
'User Inputs'!$B$17="Methane-from-Waste",
'User Inputs'!$B$17="Biomass"),
Z9*'User Inputs'!$H$43,0)
+'User Inputs'!$B$45*
(1+'User Inputs'!$D$45)^(Z$6-1))</f>
        <v>0</v>
      </c>
      <c r="AA16" s="180">
        <f ca="1">IF(OR(AA$6&lt;1,AA$6&gt;'User Inputs'!$F$19,
'User Inputs'!$F$8="Storage"),0,
IF(OR('User Inputs'!$B$17="Poultry Litter-to-Energy",
'User Inputs'!$B$17="Methane-from-Waste",
'User Inputs'!$B$17="Biomass"),
AA9*'User Inputs'!$H$43,0)
+'User Inputs'!$B$45*
(1+'User Inputs'!$D$45)^(AA$6-1))</f>
        <v>0</v>
      </c>
      <c r="AB16" s="180">
        <f ca="1">IF(OR(AB$6&lt;1,AB$6&gt;'User Inputs'!$F$19,
'User Inputs'!$F$8="Storage"),0,
IF(OR('User Inputs'!$B$17="Poultry Litter-to-Energy",
'User Inputs'!$B$17="Methane-from-Waste",
'User Inputs'!$B$17="Biomass"),
AB9*'User Inputs'!$H$43,0)
+'User Inputs'!$B$45*
(1+'User Inputs'!$D$45)^(AB$6-1))</f>
        <v>0</v>
      </c>
      <c r="AC16" s="180">
        <f ca="1">IF(OR(AC$6&lt;1,AC$6&gt;'User Inputs'!$F$19,
'User Inputs'!$F$8="Storage"),0,
IF(OR('User Inputs'!$B$17="Poultry Litter-to-Energy",
'User Inputs'!$B$17="Methane-from-Waste",
'User Inputs'!$B$17="Biomass"),
AC9*'User Inputs'!$H$43,0)
+'User Inputs'!$B$45*
(1+'User Inputs'!$D$45)^(AC$6-1))</f>
        <v>0</v>
      </c>
      <c r="AD16" s="180">
        <f ca="1">IF(OR(AD$6&lt;1,AD$6&gt;'User Inputs'!$F$19,
'User Inputs'!$F$8="Storage"),0,
IF(OR('User Inputs'!$B$17="Poultry Litter-to-Energy",
'User Inputs'!$B$17="Methane-from-Waste",
'User Inputs'!$B$17="Biomass"),
AD9*'User Inputs'!$H$43,0)
+'User Inputs'!$B$45*
(1+'User Inputs'!$D$45)^(AD$6-1))</f>
        <v>0</v>
      </c>
      <c r="AE16" s="180">
        <f ca="1">IF(OR(AE$6&lt;1,AE$6&gt;'User Inputs'!$F$19,
'User Inputs'!$F$8="Storage"),0,
IF(OR('User Inputs'!$B$17="Poultry Litter-to-Energy",
'User Inputs'!$B$17="Methane-from-Waste",
'User Inputs'!$B$17="Biomass"),
AE9*'User Inputs'!$H$43,0)
+'User Inputs'!$B$45*
(1+'User Inputs'!$D$45)^(AE$6-1))</f>
        <v>0</v>
      </c>
      <c r="AF16" s="180">
        <f ca="1">IF(OR(AF$6&lt;1,AF$6&gt;'User Inputs'!$F$19,
'User Inputs'!$F$8="Storage"),0,
IF(OR('User Inputs'!$B$17="Poultry Litter-to-Energy",
'User Inputs'!$B$17="Methane-from-Waste",
'User Inputs'!$B$17="Biomass"),
AF9*'User Inputs'!$H$43,0)
+'User Inputs'!$B$45*
(1+'User Inputs'!$D$45)^(AF$6-1))</f>
        <v>0</v>
      </c>
      <c r="AG16" s="180">
        <f ca="1">IF(OR(AG$6&lt;1,AG$6&gt;'User Inputs'!$F$19,
'User Inputs'!$F$8="Storage"),0,
IF(OR('User Inputs'!$B$17="Poultry Litter-to-Energy",
'User Inputs'!$B$17="Methane-from-Waste",
'User Inputs'!$B$17="Biomass"),
AG9*'User Inputs'!$H$43,0)
+'User Inputs'!$B$45*
(1+'User Inputs'!$D$45)^(AG$6-1))</f>
        <v>0</v>
      </c>
      <c r="AH16" s="180">
        <f ca="1">IF(OR(AH$6&lt;1,AH$6&gt;'User Inputs'!$F$19,
'User Inputs'!$F$8="Storage"),0,
IF(OR('User Inputs'!$B$17="Poultry Litter-to-Energy",
'User Inputs'!$B$17="Methane-from-Waste",
'User Inputs'!$B$17="Biomass"),
AH9*'User Inputs'!$H$43,0)
+'User Inputs'!$B$45*
(1+'User Inputs'!$D$45)^(AH$6-1))</f>
        <v>0</v>
      </c>
      <c r="AI16" s="180">
        <f ca="1">IF(OR(AI$6&lt;1,AI$6&gt;'User Inputs'!$F$19,
'User Inputs'!$F$8="Storage"),0,
IF(OR('User Inputs'!$B$17="Poultry Litter-to-Energy",
'User Inputs'!$B$17="Methane-from-Waste",
'User Inputs'!$B$17="Biomass"),
AI9*'User Inputs'!$H$43,0)
+'User Inputs'!$B$45*
(1+'User Inputs'!$D$45)^(AI$6-1))</f>
        <v>0</v>
      </c>
      <c r="AJ16" s="180">
        <f ca="1">IF(OR(AJ$6&lt;1,AJ$6&gt;'User Inputs'!$F$19,
'User Inputs'!$F$8="Storage"),0,
IF(OR('User Inputs'!$B$17="Poultry Litter-to-Energy",
'User Inputs'!$B$17="Methane-from-Waste",
'User Inputs'!$B$17="Biomass"),
AJ9*'User Inputs'!$H$43,0)
+'User Inputs'!$B$45*
(1+'User Inputs'!$D$45)^(AJ$6-1))</f>
        <v>0</v>
      </c>
      <c r="AK16" s="180">
        <f ca="1">IF(OR(AK$6&lt;1,AK$6&gt;'User Inputs'!$F$19,
'User Inputs'!$F$8="Storage"),0,
IF(OR('User Inputs'!$B$17="Poultry Litter-to-Energy",
'User Inputs'!$B$17="Methane-from-Waste",
'User Inputs'!$B$17="Biomass"),
AK9*'User Inputs'!$H$43,0)
+'User Inputs'!$B$45*
(1+'User Inputs'!$D$45)^(AK$6-1))</f>
        <v>0</v>
      </c>
      <c r="AL16" s="180">
        <f ca="1">IF(OR(AL$6&lt;1,AL$6&gt;'User Inputs'!$F$19,
'User Inputs'!$F$8="Storage"),0,
IF(OR('User Inputs'!$B$17="Poultry Litter-to-Energy",
'User Inputs'!$B$17="Methane-from-Waste",
'User Inputs'!$B$17="Biomass"),
AL9*'User Inputs'!$H$43,0)
+'User Inputs'!$B$45*
(1+'User Inputs'!$D$45)^(AL$6-1))</f>
        <v>0</v>
      </c>
      <c r="AM16" s="180">
        <f ca="1">IF(OR(AM$6&lt;1,AM$6&gt;'User Inputs'!$F$19,
'User Inputs'!$F$8="Storage"),0,
IF(OR('User Inputs'!$B$17="Poultry Litter-to-Energy",
'User Inputs'!$B$17="Methane-from-Waste",
'User Inputs'!$B$17="Biomass"),
AM9*'User Inputs'!$H$43,0)
+'User Inputs'!$B$45*
(1+'User Inputs'!$D$45)^(AM$6-1))</f>
        <v>0</v>
      </c>
    </row>
    <row r="17" spans="1:39" ht="23.45">
      <c r="A17" s="16"/>
      <c r="B17" s="167"/>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row>
    <row r="18" spans="1:39" ht="22.35" customHeight="1">
      <c r="A18" s="16"/>
      <c r="B18" s="174" t="s">
        <v>353</v>
      </c>
      <c r="C18" s="175"/>
      <c r="D18" s="175"/>
      <c r="E18" s="175"/>
      <c r="F18" s="175"/>
      <c r="G18" s="175"/>
      <c r="H18" s="175"/>
      <c r="I18" s="175"/>
      <c r="J18" s="175"/>
      <c r="K18" s="175"/>
      <c r="L18" s="175"/>
      <c r="M18" s="175"/>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row>
    <row r="19" spans="1:39" s="178" customFormat="1" ht="17.100000000000001" customHeight="1">
      <c r="A19" s="16"/>
      <c r="B19" s="168" t="s">
        <v>354</v>
      </c>
      <c r="C19" s="180">
        <f>0</f>
        <v>0</v>
      </c>
      <c r="D19" s="180">
        <f>0</f>
        <v>0</v>
      </c>
      <c r="E19" s="180" t="str">
        <f>IF(OR(E$6&lt;1,'User Inputs'!$F$8="Tier 1 RE"),0,
IF(OR(
NOT(ISNUMBER('User Inputs'!$D$74)),
NOT(ISNUMBER('User Inputs'!$F$109)),
NOT(ISNUMBER('User Inputs'!$B$74))
),"",
IF(OR(
'User Inputs'!$D$74&lt;=0,
E$6&gt;'User Inputs'!$D$74
),0,
'User Inputs'!$F$109*
(1-'User Inputs'!$B$74)^(E$6-1))))</f>
        <v/>
      </c>
      <c r="F19" s="180" t="str">
        <f>IF(OR(F$6&lt;1,'User Inputs'!$F$8="Tier 1 RE"),0,
IF(OR(
NOT(ISNUMBER('User Inputs'!$D$74)),
NOT(ISNUMBER('User Inputs'!$F$109)),
NOT(ISNUMBER('User Inputs'!$B$74))
),"",
IF(OR(
'User Inputs'!$D$74&lt;=0,
F$6&gt;'User Inputs'!$D$74
),0,
'User Inputs'!$F$109*
(1-'User Inputs'!$B$74)^(F$6-1))))</f>
        <v/>
      </c>
      <c r="G19" s="180" t="str">
        <f>IF(OR(G$6&lt;1,'User Inputs'!$F$8="Tier 1 RE"),0,
IF(OR(
NOT(ISNUMBER('User Inputs'!$D$74)),
NOT(ISNUMBER('User Inputs'!$F$109)),
NOT(ISNUMBER('User Inputs'!$B$74))
),"",
IF(OR(
'User Inputs'!$D$74&lt;=0,
G$6&gt;'User Inputs'!$D$74
),0,
'User Inputs'!$F$109*
(1-'User Inputs'!$B$74)^(G$6-1))))</f>
        <v/>
      </c>
      <c r="H19" s="180" t="str">
        <f>IF(OR(H$6&lt;1,'User Inputs'!$F$8="Tier 1 RE"),0,
IF(OR(
NOT(ISNUMBER('User Inputs'!$D$74)),
NOT(ISNUMBER('User Inputs'!$F$109)),
NOT(ISNUMBER('User Inputs'!$B$74))
),"",
IF(OR(
'User Inputs'!$D$74&lt;=0,
H$6&gt;'User Inputs'!$D$74
),0,
'User Inputs'!$F$109*
(1-'User Inputs'!$B$74)^(H$6-1))))</f>
        <v/>
      </c>
      <c r="I19" s="180" t="str">
        <f>IF(OR(I$6&lt;1,'User Inputs'!$F$8="Tier 1 RE"),0,
IF(OR(
NOT(ISNUMBER('User Inputs'!$D$74)),
NOT(ISNUMBER('User Inputs'!$F$109)),
NOT(ISNUMBER('User Inputs'!$B$74))
),"",
IF(OR(
'User Inputs'!$D$74&lt;=0,
I$6&gt;'User Inputs'!$D$74
),0,
'User Inputs'!$F$109*
(1-'User Inputs'!$B$74)^(I$6-1))))</f>
        <v/>
      </c>
      <c r="J19" s="180" t="str">
        <f>IF(OR(J$6&lt;1,'User Inputs'!$F$8="Tier 1 RE"),0,
IF(OR(
NOT(ISNUMBER('User Inputs'!$D$74)),
NOT(ISNUMBER('User Inputs'!$F$109)),
NOT(ISNUMBER('User Inputs'!$B$74))
),"",
IF(OR(
'User Inputs'!$D$74&lt;=0,
J$6&gt;'User Inputs'!$D$74
),0,
'User Inputs'!$F$109*
(1-'User Inputs'!$B$74)^(J$6-1))))</f>
        <v/>
      </c>
      <c r="K19" s="180" t="str">
        <f>IF(OR(K$6&lt;1,'User Inputs'!$F$8="Tier 1 RE"),0,
IF(OR(
NOT(ISNUMBER('User Inputs'!$D$74)),
NOT(ISNUMBER('User Inputs'!$F$109)),
NOT(ISNUMBER('User Inputs'!$B$74))
),"",
IF(OR(
'User Inputs'!$D$74&lt;=0,
K$6&gt;'User Inputs'!$D$74
),0,
'User Inputs'!$F$109*
(1-'User Inputs'!$B$74)^(K$6-1))))</f>
        <v/>
      </c>
      <c r="L19" s="180" t="str">
        <f>IF(OR(L$6&lt;1,'User Inputs'!$F$8="Tier 1 RE"),0,
IF(OR(
NOT(ISNUMBER('User Inputs'!$D$74)),
NOT(ISNUMBER('User Inputs'!$F$109)),
NOT(ISNUMBER('User Inputs'!$B$74))
),"",
IF(OR(
'User Inputs'!$D$74&lt;=0,
L$6&gt;'User Inputs'!$D$74
),0,
'User Inputs'!$F$109*
(1-'User Inputs'!$B$74)^(L$6-1))))</f>
        <v/>
      </c>
      <c r="M19" s="180" t="str">
        <f>IF(OR(M$6&lt;1,'User Inputs'!$F$8="Tier 1 RE"),0,
IF(OR(
NOT(ISNUMBER('User Inputs'!$D$74)),
NOT(ISNUMBER('User Inputs'!$F$109)),
NOT(ISNUMBER('User Inputs'!$B$74))
),"",
IF(OR(
'User Inputs'!$D$74&lt;=0,
M$6&gt;'User Inputs'!$D$74
),0,
'User Inputs'!$F$109*
(1-'User Inputs'!$B$74)^(M$6-1))))</f>
        <v/>
      </c>
      <c r="N19" s="180" t="str">
        <f>IF(OR(N$6&lt;1,'User Inputs'!$F$8="Tier 1 RE"),0,
IF(OR(
NOT(ISNUMBER('User Inputs'!$D$74)),
NOT(ISNUMBER('User Inputs'!$F$109)),
NOT(ISNUMBER('User Inputs'!$B$74))
),"",
IF(OR(
'User Inputs'!$D$74&lt;=0,
N$6&gt;'User Inputs'!$D$74
),0,
'User Inputs'!$F$109*
(1-'User Inputs'!$B$74)^(N$6-1))))</f>
        <v/>
      </c>
      <c r="O19" s="180" t="str">
        <f>IF(OR(O$6&lt;1,'User Inputs'!$F$8="Tier 1 RE"),0,
IF(OR(
NOT(ISNUMBER('User Inputs'!$D$74)),
NOT(ISNUMBER('User Inputs'!$F$109)),
NOT(ISNUMBER('User Inputs'!$B$74))
),"",
IF(OR(
'User Inputs'!$D$74&lt;=0,
O$6&gt;'User Inputs'!$D$74
),0,
'User Inputs'!$F$109*
(1-'User Inputs'!$B$74)^(O$6-1))))</f>
        <v/>
      </c>
      <c r="P19" s="180" t="str">
        <f>IF(OR(P$6&lt;1,'User Inputs'!$F$8="Tier 1 RE"),0,
IF(OR(
NOT(ISNUMBER('User Inputs'!$D$74)),
NOT(ISNUMBER('User Inputs'!$F$109)),
NOT(ISNUMBER('User Inputs'!$B$74))
),"",
IF(OR(
'User Inputs'!$D$74&lt;=0,
P$6&gt;'User Inputs'!$D$74
),0,
'User Inputs'!$F$109*
(1-'User Inputs'!$B$74)^(P$6-1))))</f>
        <v/>
      </c>
      <c r="Q19" s="180" t="str">
        <f>IF(OR(Q$6&lt;1,'User Inputs'!$F$8="Tier 1 RE"),0,
IF(OR(
NOT(ISNUMBER('User Inputs'!$D$74)),
NOT(ISNUMBER('User Inputs'!$F$109)),
NOT(ISNUMBER('User Inputs'!$B$74))
),"",
IF(OR(
'User Inputs'!$D$74&lt;=0,
Q$6&gt;'User Inputs'!$D$74
),0,
'User Inputs'!$F$109*
(1-'User Inputs'!$B$74)^(Q$6-1))))</f>
        <v/>
      </c>
      <c r="R19" s="180" t="str">
        <f>IF(OR(R$6&lt;1,'User Inputs'!$F$8="Tier 1 RE"),0,
IF(OR(
NOT(ISNUMBER('User Inputs'!$D$74)),
NOT(ISNUMBER('User Inputs'!$F$109)),
NOT(ISNUMBER('User Inputs'!$B$74))
),"",
IF(OR(
'User Inputs'!$D$74&lt;=0,
R$6&gt;'User Inputs'!$D$74
),0,
'User Inputs'!$F$109*
(1-'User Inputs'!$B$74)^(R$6-1))))</f>
        <v/>
      </c>
      <c r="S19" s="180" t="str">
        <f>IF(OR(S$6&lt;1,'User Inputs'!$F$8="Tier 1 RE"),0,
IF(OR(
NOT(ISNUMBER('User Inputs'!$D$74)),
NOT(ISNUMBER('User Inputs'!$F$109)),
NOT(ISNUMBER('User Inputs'!$B$74))
),"",
IF(OR(
'User Inputs'!$D$74&lt;=0,
S$6&gt;'User Inputs'!$D$74
),0,
'User Inputs'!$F$109*
(1-'User Inputs'!$B$74)^(S$6-1))))</f>
        <v/>
      </c>
      <c r="T19" s="180" t="str">
        <f>IF(OR(T$6&lt;1,'User Inputs'!$F$8="Tier 1 RE"),0,
IF(OR(
NOT(ISNUMBER('User Inputs'!$D$74)),
NOT(ISNUMBER('User Inputs'!$F$109)),
NOT(ISNUMBER('User Inputs'!$B$74))
),"",
IF(OR(
'User Inputs'!$D$74&lt;=0,
T$6&gt;'User Inputs'!$D$74
),0,
'User Inputs'!$F$109*
(1-'User Inputs'!$B$74)^(T$6-1))))</f>
        <v/>
      </c>
      <c r="U19" s="180" t="str">
        <f>IF(OR(U$6&lt;1,'User Inputs'!$F$8="Tier 1 RE"),0,
IF(OR(
NOT(ISNUMBER('User Inputs'!$D$74)),
NOT(ISNUMBER('User Inputs'!$F$109)),
NOT(ISNUMBER('User Inputs'!$B$74))
),"",
IF(OR(
'User Inputs'!$D$74&lt;=0,
U$6&gt;'User Inputs'!$D$74
),0,
'User Inputs'!$F$109*
(1-'User Inputs'!$B$74)^(U$6-1))))</f>
        <v/>
      </c>
      <c r="V19" s="180" t="str">
        <f>IF(OR(V$6&lt;1,'User Inputs'!$F$8="Tier 1 RE"),0,
IF(OR(
NOT(ISNUMBER('User Inputs'!$D$74)),
NOT(ISNUMBER('User Inputs'!$F$109)),
NOT(ISNUMBER('User Inputs'!$B$74))
),"",
IF(OR(
'User Inputs'!$D$74&lt;=0,
V$6&gt;'User Inputs'!$D$74
),0,
'User Inputs'!$F$109*
(1-'User Inputs'!$B$74)^(V$6-1))))</f>
        <v/>
      </c>
      <c r="W19" s="180" t="str">
        <f>IF(OR(W$6&lt;1,'User Inputs'!$F$8="Tier 1 RE"),0,
IF(OR(
NOT(ISNUMBER('User Inputs'!$D$74)),
NOT(ISNUMBER('User Inputs'!$F$109)),
NOT(ISNUMBER('User Inputs'!$B$74))
),"",
IF(OR(
'User Inputs'!$D$74&lt;=0,
W$6&gt;'User Inputs'!$D$74
),0,
'User Inputs'!$F$109*
(1-'User Inputs'!$B$74)^(W$6-1))))</f>
        <v/>
      </c>
      <c r="X19" s="180" t="str">
        <f>IF(OR(X$6&lt;1,'User Inputs'!$F$8="Tier 1 RE"),0,
IF(OR(
NOT(ISNUMBER('User Inputs'!$D$74)),
NOT(ISNUMBER('User Inputs'!$F$109)),
NOT(ISNUMBER('User Inputs'!$B$74))
),"",
IF(OR(
'User Inputs'!$D$74&lt;=0,
X$6&gt;'User Inputs'!$D$74
),0,
'User Inputs'!$F$109*
(1-'User Inputs'!$B$74)^(X$6-1))))</f>
        <v/>
      </c>
      <c r="Y19" s="180" t="str">
        <f>IF(OR(Y$6&lt;1,'User Inputs'!$F$8="Tier 1 RE"),0,
IF(OR(
NOT(ISNUMBER('User Inputs'!$D$74)),
NOT(ISNUMBER('User Inputs'!$F$109)),
NOT(ISNUMBER('User Inputs'!$B$74))
),"",
IF(OR(
'User Inputs'!$D$74&lt;=0,
Y$6&gt;'User Inputs'!$D$74
),0,
'User Inputs'!$F$109*
(1-'User Inputs'!$B$74)^(Y$6-1))))</f>
        <v/>
      </c>
      <c r="Z19" s="180" t="str">
        <f>IF(OR(Z$6&lt;1,'User Inputs'!$F$8="Tier 1 RE"),0,
IF(OR(
NOT(ISNUMBER('User Inputs'!$D$74)),
NOT(ISNUMBER('User Inputs'!$F$109)),
NOT(ISNUMBER('User Inputs'!$B$74))
),"",
IF(OR(
'User Inputs'!$D$74&lt;=0,
Z$6&gt;'User Inputs'!$D$74
),0,
'User Inputs'!$F$109*
(1-'User Inputs'!$B$74)^(Z$6-1))))</f>
        <v/>
      </c>
      <c r="AA19" s="180" t="str">
        <f>IF(OR(AA$6&lt;1,'User Inputs'!$F$8="Tier 1 RE"),0,
IF(OR(
NOT(ISNUMBER('User Inputs'!$D$74)),
NOT(ISNUMBER('User Inputs'!$F$109)),
NOT(ISNUMBER('User Inputs'!$B$74))
),"",
IF(OR(
'User Inputs'!$D$74&lt;=0,
AA$6&gt;'User Inputs'!$D$74
),0,
'User Inputs'!$F$109*
(1-'User Inputs'!$B$74)^(AA$6-1))))</f>
        <v/>
      </c>
      <c r="AB19" s="180" t="str">
        <f>IF(OR(AB$6&lt;1,'User Inputs'!$F$8="Tier 1 RE"),0,
IF(OR(
NOT(ISNUMBER('User Inputs'!$D$74)),
NOT(ISNUMBER('User Inputs'!$F$109)),
NOT(ISNUMBER('User Inputs'!$B$74))
),"",
IF(OR(
'User Inputs'!$D$74&lt;=0,
AB$6&gt;'User Inputs'!$D$74
),0,
'User Inputs'!$F$109*
(1-'User Inputs'!$B$74)^(AB$6-1))))</f>
        <v/>
      </c>
      <c r="AC19" s="180" t="str">
        <f>IF(OR(AC$6&lt;1,'User Inputs'!$F$8="Tier 1 RE"),0,
IF(OR(
NOT(ISNUMBER('User Inputs'!$D$74)),
NOT(ISNUMBER('User Inputs'!$F$109)),
NOT(ISNUMBER('User Inputs'!$B$74))
),"",
IF(OR(
'User Inputs'!$D$74&lt;=0,
AC$6&gt;'User Inputs'!$D$74
),0,
'User Inputs'!$F$109*
(1-'User Inputs'!$B$74)^(AC$6-1))))</f>
        <v/>
      </c>
      <c r="AD19" s="180" t="str">
        <f>IF(OR(AD$6&lt;1,'User Inputs'!$F$8="Tier 1 RE"),0,
IF(OR(
NOT(ISNUMBER('User Inputs'!$D$74)),
NOT(ISNUMBER('User Inputs'!$F$109)),
NOT(ISNUMBER('User Inputs'!$B$74))
),"",
IF(OR(
'User Inputs'!$D$74&lt;=0,
AD$6&gt;'User Inputs'!$D$74
),0,
'User Inputs'!$F$109*
(1-'User Inputs'!$B$74)^(AD$6-1))))</f>
        <v/>
      </c>
      <c r="AE19" s="180" t="str">
        <f>IF(OR(AE$6&lt;1,'User Inputs'!$F$8="Tier 1 RE"),0,
IF(OR(
NOT(ISNUMBER('User Inputs'!$D$74)),
NOT(ISNUMBER('User Inputs'!$F$109)),
NOT(ISNUMBER('User Inputs'!$B$74))
),"",
IF(OR(
'User Inputs'!$D$74&lt;=0,
AE$6&gt;'User Inputs'!$D$74
),0,
'User Inputs'!$F$109*
(1-'User Inputs'!$B$74)^(AE$6-1))))</f>
        <v/>
      </c>
      <c r="AF19" s="180" t="str">
        <f>IF(OR(AF$6&lt;1,'User Inputs'!$F$8="Tier 1 RE"),0,
IF(OR(
NOT(ISNUMBER('User Inputs'!$D$74)),
NOT(ISNUMBER('User Inputs'!$F$109)),
NOT(ISNUMBER('User Inputs'!$B$74))
),"",
IF(OR(
'User Inputs'!$D$74&lt;=0,
AF$6&gt;'User Inputs'!$D$74
),0,
'User Inputs'!$F$109*
(1-'User Inputs'!$B$74)^(AF$6-1))))</f>
        <v/>
      </c>
      <c r="AG19" s="180" t="str">
        <f>IF(OR(AG$6&lt;1,'User Inputs'!$F$8="Tier 1 RE"),0,
IF(OR(
NOT(ISNUMBER('User Inputs'!$D$74)),
NOT(ISNUMBER('User Inputs'!$F$109)),
NOT(ISNUMBER('User Inputs'!$B$74))
),"",
IF(OR(
'User Inputs'!$D$74&lt;=0,
AG$6&gt;'User Inputs'!$D$74
),0,
'User Inputs'!$F$109*
(1-'User Inputs'!$B$74)^(AG$6-1))))</f>
        <v/>
      </c>
      <c r="AH19" s="180" t="str">
        <f>IF(OR(AH$6&lt;1,'User Inputs'!$F$8="Tier 1 RE"),0,
IF(OR(
NOT(ISNUMBER('User Inputs'!$D$74)),
NOT(ISNUMBER('User Inputs'!$F$109)),
NOT(ISNUMBER('User Inputs'!$B$74))
),"",
IF(OR(
'User Inputs'!$D$74&lt;=0,
AH$6&gt;'User Inputs'!$D$74
),0,
'User Inputs'!$F$109*
(1-'User Inputs'!$B$74)^(AH$6-1))))</f>
        <v/>
      </c>
      <c r="AI19" s="180" t="str">
        <f>IF(OR(AI$6&lt;1,'User Inputs'!$F$8="Tier 1 RE"),0,
IF(OR(
NOT(ISNUMBER('User Inputs'!$D$74)),
NOT(ISNUMBER('User Inputs'!$F$109)),
NOT(ISNUMBER('User Inputs'!$B$74))
),"",
IF(OR(
'User Inputs'!$D$74&lt;=0,
AI$6&gt;'User Inputs'!$D$74
),0,
'User Inputs'!$F$109*
(1-'User Inputs'!$B$74)^(AI$6-1))))</f>
        <v/>
      </c>
      <c r="AJ19" s="180" t="str">
        <f>IF(OR(AJ$6&lt;1,'User Inputs'!$F$8="Tier 1 RE"),0,
IF(OR(
NOT(ISNUMBER('User Inputs'!$D$74)),
NOT(ISNUMBER('User Inputs'!$F$109)),
NOT(ISNUMBER('User Inputs'!$B$74))
),"",
IF(OR(
'User Inputs'!$D$74&lt;=0,
AJ$6&gt;'User Inputs'!$D$74
),0,
'User Inputs'!$F$109*
(1-'User Inputs'!$B$74)^(AJ$6-1))))</f>
        <v/>
      </c>
      <c r="AK19" s="180" t="str">
        <f>IF(OR(AK$6&lt;1,'User Inputs'!$F$8="Tier 1 RE"),0,
IF(OR(
NOT(ISNUMBER('User Inputs'!$D$74)),
NOT(ISNUMBER('User Inputs'!$F$109)),
NOT(ISNUMBER('User Inputs'!$B$74))
),"",
IF(OR(
'User Inputs'!$D$74&lt;=0,
AK$6&gt;'User Inputs'!$D$74
),0,
'User Inputs'!$F$109*
(1-'User Inputs'!$B$74)^(AK$6-1))))</f>
        <v/>
      </c>
      <c r="AL19" s="180" t="str">
        <f>IF(OR(AL$6&lt;1,'User Inputs'!$F$8="Tier 1 RE"),0,
IF(OR(
NOT(ISNUMBER('User Inputs'!$D$74)),
NOT(ISNUMBER('User Inputs'!$F$109)),
NOT(ISNUMBER('User Inputs'!$B$74))
),"",
IF(OR(
'User Inputs'!$D$74&lt;=0,
AL$6&gt;'User Inputs'!$D$74
),0,
'User Inputs'!$F$109*
(1-'User Inputs'!$B$74)^(AL$6-1))))</f>
        <v/>
      </c>
      <c r="AM19" s="180" t="str">
        <f>IF(OR(AM$6&lt;1,'User Inputs'!$F$8="Tier 1 RE"),0,
IF(OR(
NOT(ISNUMBER('User Inputs'!$D$74)),
NOT(ISNUMBER('User Inputs'!$F$109)),
NOT(ISNUMBER('User Inputs'!$B$74))
),"",
IF(OR(
'User Inputs'!$D$74&lt;=0,
AM$6&gt;'User Inputs'!$D$74
),0,
'User Inputs'!$F$109*
(1-'User Inputs'!$B$74)^(AM$6-1))))</f>
        <v/>
      </c>
    </row>
    <row r="20" spans="1:39" s="178" customFormat="1" ht="17.100000000000001" customHeight="1">
      <c r="A20" s="16"/>
      <c r="B20" s="168" t="s">
        <v>355</v>
      </c>
      <c r="C20" s="179">
        <f>0</f>
        <v>0</v>
      </c>
      <c r="D20" s="180">
        <f>0</f>
        <v>0</v>
      </c>
      <c r="E20" s="180" t="str">
        <f>IF(OR(E$6&lt;1,'User Inputs'!$F$8="Tier 1 RE"),0,
IF(OR(
NOT(ISNUMBER('User Inputs'!$D$74)),
NOT(ISNUMBER('User Inputs'!$D$109))
),"",
IF(E$6&gt;'User Inputs'!$D$74,0,
'User Inputs'!$D$109*
'User Inputs'!$H$74*
'User Inputs'!$F$66*
(1+'User Inputs'!$H$66)^(E$6-1)*365)))</f>
        <v/>
      </c>
      <c r="F20" s="180" t="str">
        <f>IF(OR(F$6&lt;1,'User Inputs'!$F$8="Tier 1 RE"),0,
IF(OR(
NOT(ISNUMBER('User Inputs'!$D$74)),
NOT(ISNUMBER('User Inputs'!$D$109))
),"",
IF(F$6&gt;'User Inputs'!$D$74,0,
'User Inputs'!$D$109*
'User Inputs'!$H$74*
'User Inputs'!$F$66*
(1+'User Inputs'!$H$66)^(F$6-1)*365)))</f>
        <v/>
      </c>
      <c r="G20" s="180" t="str">
        <f>IF(OR(G$6&lt;1,'User Inputs'!$F$8="Tier 1 RE"),0,
IF(OR(
NOT(ISNUMBER('User Inputs'!$D$74)),
NOT(ISNUMBER('User Inputs'!$D$109))
),"",
IF(G$6&gt;'User Inputs'!$D$74,0,
'User Inputs'!$D$109*
'User Inputs'!$H$74*
'User Inputs'!$F$66*
(1+'User Inputs'!$H$66)^(G$6-1)*365)))</f>
        <v/>
      </c>
      <c r="H20" s="180" t="str">
        <f>IF(OR(H$6&lt;1,'User Inputs'!$F$8="Tier 1 RE"),0,
IF(OR(
NOT(ISNUMBER('User Inputs'!$D$74)),
NOT(ISNUMBER('User Inputs'!$D$109))
),"",
IF(H$6&gt;'User Inputs'!$D$74,0,
'User Inputs'!$D$109*
'User Inputs'!$H$74*
'User Inputs'!$F$66*
(1+'User Inputs'!$H$66)^(H$6-1)*365)))</f>
        <v/>
      </c>
      <c r="I20" s="180" t="str">
        <f>IF(OR(I$6&lt;1,'User Inputs'!$F$8="Tier 1 RE"),0,
IF(OR(
NOT(ISNUMBER('User Inputs'!$D$74)),
NOT(ISNUMBER('User Inputs'!$D$109))
),"",
IF(I$6&gt;'User Inputs'!$D$74,0,
'User Inputs'!$D$109*
'User Inputs'!$H$74*
'User Inputs'!$F$66*
(1+'User Inputs'!$H$66)^(I$6-1)*365)))</f>
        <v/>
      </c>
      <c r="J20" s="180" t="str">
        <f>IF(OR(J$6&lt;1,'User Inputs'!$F$8="Tier 1 RE"),0,
IF(OR(
NOT(ISNUMBER('User Inputs'!$D$74)),
NOT(ISNUMBER('User Inputs'!$D$109))
),"",
IF(J$6&gt;'User Inputs'!$D$74,0,
'User Inputs'!$D$109*
'User Inputs'!$H$74*
'User Inputs'!$F$66*
(1+'User Inputs'!$H$66)^(J$6-1)*365)))</f>
        <v/>
      </c>
      <c r="K20" s="180" t="str">
        <f>IF(OR(K$6&lt;1,'User Inputs'!$F$8="Tier 1 RE"),0,
IF(OR(
NOT(ISNUMBER('User Inputs'!$D$74)),
NOT(ISNUMBER('User Inputs'!$D$109))
),"",
IF(K$6&gt;'User Inputs'!$D$74,0,
'User Inputs'!$D$109*
'User Inputs'!$H$74*
'User Inputs'!$F$66*
(1+'User Inputs'!$H$66)^(K$6-1)*365)))</f>
        <v/>
      </c>
      <c r="L20" s="180" t="str">
        <f>IF(OR(L$6&lt;1,'User Inputs'!$F$8="Tier 1 RE"),0,
IF(OR(
NOT(ISNUMBER('User Inputs'!$D$74)),
NOT(ISNUMBER('User Inputs'!$D$109))
),"",
IF(L$6&gt;'User Inputs'!$D$74,0,
'User Inputs'!$D$109*
'User Inputs'!$H$74*
'User Inputs'!$F$66*
(1+'User Inputs'!$H$66)^(L$6-1)*365)))</f>
        <v/>
      </c>
      <c r="M20" s="180" t="str">
        <f>IF(OR(M$6&lt;1,'User Inputs'!$F$8="Tier 1 RE"),0,
IF(OR(
NOT(ISNUMBER('User Inputs'!$D$74)),
NOT(ISNUMBER('User Inputs'!$D$109))
),"",
IF(M$6&gt;'User Inputs'!$D$74,0,
'User Inputs'!$D$109*
'User Inputs'!$H$74*
'User Inputs'!$F$66*
(1+'User Inputs'!$H$66)^(M$6-1)*365)))</f>
        <v/>
      </c>
      <c r="N20" s="180" t="str">
        <f>IF(OR(N$6&lt;1,'User Inputs'!$F$8="Tier 1 RE"),0,
IF(OR(
NOT(ISNUMBER('User Inputs'!$D$74)),
NOT(ISNUMBER('User Inputs'!$D$109))
),"",
IF(N$6&gt;'User Inputs'!$D$74,0,
'User Inputs'!$D$109*
'User Inputs'!$H$74*
'User Inputs'!$F$66*
(1+'User Inputs'!$H$66)^(N$6-1)*365)))</f>
        <v/>
      </c>
      <c r="O20" s="180" t="str">
        <f>IF(OR(O$6&lt;1,'User Inputs'!$F$8="Tier 1 RE"),0,
IF(OR(
NOT(ISNUMBER('User Inputs'!$D$74)),
NOT(ISNUMBER('User Inputs'!$D$109))
),"",
IF(O$6&gt;'User Inputs'!$D$74,0,
'User Inputs'!$D$109*
'User Inputs'!$H$74*
'User Inputs'!$F$66*
(1+'User Inputs'!$H$66)^(O$6-1)*365)))</f>
        <v/>
      </c>
      <c r="P20" s="180" t="str">
        <f>IF(OR(P$6&lt;1,'User Inputs'!$F$8="Tier 1 RE"),0,
IF(OR(
NOT(ISNUMBER('User Inputs'!$D$74)),
NOT(ISNUMBER('User Inputs'!$D$109))
),"",
IF(P$6&gt;'User Inputs'!$D$74,0,
'User Inputs'!$D$109*
'User Inputs'!$H$74*
'User Inputs'!$F$66*
(1+'User Inputs'!$H$66)^(P$6-1)*365)))</f>
        <v/>
      </c>
      <c r="Q20" s="180" t="str">
        <f>IF(OR(Q$6&lt;1,'User Inputs'!$F$8="Tier 1 RE"),0,
IF(OR(
NOT(ISNUMBER('User Inputs'!$D$74)),
NOT(ISNUMBER('User Inputs'!$D$109))
),"",
IF(Q$6&gt;'User Inputs'!$D$74,0,
'User Inputs'!$D$109*
'User Inputs'!$H$74*
'User Inputs'!$F$66*
(1+'User Inputs'!$H$66)^(Q$6-1)*365)))</f>
        <v/>
      </c>
      <c r="R20" s="180" t="str">
        <f>IF(OR(R$6&lt;1,'User Inputs'!$F$8="Tier 1 RE"),0,
IF(OR(
NOT(ISNUMBER('User Inputs'!$D$74)),
NOT(ISNUMBER('User Inputs'!$D$109))
),"",
IF(R$6&gt;'User Inputs'!$D$74,0,
'User Inputs'!$D$109*
'User Inputs'!$H$74*
'User Inputs'!$F$66*
(1+'User Inputs'!$H$66)^(R$6-1)*365)))</f>
        <v/>
      </c>
      <c r="S20" s="180" t="str">
        <f>IF(OR(S$6&lt;1,'User Inputs'!$F$8="Tier 1 RE"),0,
IF(OR(
NOT(ISNUMBER('User Inputs'!$D$74)),
NOT(ISNUMBER('User Inputs'!$D$109))
),"",
IF(S$6&gt;'User Inputs'!$D$74,0,
'User Inputs'!$D$109*
'User Inputs'!$H$74*
'User Inputs'!$F$66*
(1+'User Inputs'!$H$66)^(S$6-1)*365)))</f>
        <v/>
      </c>
      <c r="T20" s="180" t="str">
        <f>IF(OR(T$6&lt;1,'User Inputs'!$F$8="Tier 1 RE"),0,
IF(OR(
NOT(ISNUMBER('User Inputs'!$D$74)),
NOT(ISNUMBER('User Inputs'!$D$109))
),"",
IF(T$6&gt;'User Inputs'!$D$74,0,
'User Inputs'!$D$109*
'User Inputs'!$H$74*
'User Inputs'!$F$66*
(1+'User Inputs'!$H$66)^(T$6-1)*365)))</f>
        <v/>
      </c>
      <c r="U20" s="180" t="str">
        <f>IF(OR(U$6&lt;1,'User Inputs'!$F$8="Tier 1 RE"),0,
IF(OR(
NOT(ISNUMBER('User Inputs'!$D$74)),
NOT(ISNUMBER('User Inputs'!$D$109))
),"",
IF(U$6&gt;'User Inputs'!$D$74,0,
'User Inputs'!$D$109*
'User Inputs'!$H$74*
'User Inputs'!$F$66*
(1+'User Inputs'!$H$66)^(U$6-1)*365)))</f>
        <v/>
      </c>
      <c r="V20" s="180" t="str">
        <f>IF(OR(V$6&lt;1,'User Inputs'!$F$8="Tier 1 RE"),0,
IF(OR(
NOT(ISNUMBER('User Inputs'!$D$74)),
NOT(ISNUMBER('User Inputs'!$D$109))
),"",
IF(V$6&gt;'User Inputs'!$D$74,0,
'User Inputs'!$D$109*
'User Inputs'!$H$74*
'User Inputs'!$F$66*
(1+'User Inputs'!$H$66)^(V$6-1)*365)))</f>
        <v/>
      </c>
      <c r="W20" s="180" t="str">
        <f>IF(OR(W$6&lt;1,'User Inputs'!$F$8="Tier 1 RE"),0,
IF(OR(
NOT(ISNUMBER('User Inputs'!$D$74)),
NOT(ISNUMBER('User Inputs'!$D$109))
),"",
IF(W$6&gt;'User Inputs'!$D$74,0,
'User Inputs'!$D$109*
'User Inputs'!$H$74*
'User Inputs'!$F$66*
(1+'User Inputs'!$H$66)^(W$6-1)*365)))</f>
        <v/>
      </c>
      <c r="X20" s="180" t="str">
        <f>IF(OR(X$6&lt;1,'User Inputs'!$F$8="Tier 1 RE"),0,
IF(OR(
NOT(ISNUMBER('User Inputs'!$D$74)),
NOT(ISNUMBER('User Inputs'!$D$109))
),"",
IF(X$6&gt;'User Inputs'!$D$74,0,
'User Inputs'!$D$109*
'User Inputs'!$H$74*
'User Inputs'!$F$66*
(1+'User Inputs'!$H$66)^(X$6-1)*365)))</f>
        <v/>
      </c>
      <c r="Y20" s="180" t="str">
        <f>IF(OR(Y$6&lt;1,'User Inputs'!$F$8="Tier 1 RE"),0,
IF(OR(
NOT(ISNUMBER('User Inputs'!$D$74)),
NOT(ISNUMBER('User Inputs'!$D$109))
),"",
IF(Y$6&gt;'User Inputs'!$D$74,0,
'User Inputs'!$D$109*
'User Inputs'!$H$74*
'User Inputs'!$F$66*
(1+'User Inputs'!$H$66)^(Y$6-1)*365)))</f>
        <v/>
      </c>
      <c r="Z20" s="180" t="str">
        <f>IF(OR(Z$6&lt;1,'User Inputs'!$F$8="Tier 1 RE"),0,
IF(OR(
NOT(ISNUMBER('User Inputs'!$D$74)),
NOT(ISNUMBER('User Inputs'!$D$109))
),"",
IF(Z$6&gt;'User Inputs'!$D$74,0,
'User Inputs'!$D$109*
'User Inputs'!$H$74*
'User Inputs'!$F$66*
(1+'User Inputs'!$H$66)^(Z$6-1)*365)))</f>
        <v/>
      </c>
      <c r="AA20" s="180" t="str">
        <f>IF(OR(AA$6&lt;1,'User Inputs'!$F$8="Tier 1 RE"),0,
IF(OR(
NOT(ISNUMBER('User Inputs'!$D$74)),
NOT(ISNUMBER('User Inputs'!$D$109))
),"",
IF(AA$6&gt;'User Inputs'!$D$74,0,
'User Inputs'!$D$109*
'User Inputs'!$H$74*
'User Inputs'!$F$66*
(1+'User Inputs'!$H$66)^(AA$6-1)*365)))</f>
        <v/>
      </c>
      <c r="AB20" s="180" t="str">
        <f>IF(OR(AB$6&lt;1,'User Inputs'!$F$8="Tier 1 RE"),0,
IF(OR(
NOT(ISNUMBER('User Inputs'!$D$74)),
NOT(ISNUMBER('User Inputs'!$D$109))
),"",
IF(AB$6&gt;'User Inputs'!$D$74,0,
'User Inputs'!$D$109*
'User Inputs'!$H$74*
'User Inputs'!$F$66*
(1+'User Inputs'!$H$66)^(AB$6-1)*365)))</f>
        <v/>
      </c>
      <c r="AC20" s="180" t="str">
        <f>IF(OR(AC$6&lt;1,'User Inputs'!$F$8="Tier 1 RE"),0,
IF(OR(
NOT(ISNUMBER('User Inputs'!$D$74)),
NOT(ISNUMBER('User Inputs'!$D$109))
),"",
IF(AC$6&gt;'User Inputs'!$D$74,0,
'User Inputs'!$D$109*
'User Inputs'!$H$74*
'User Inputs'!$F$66*
(1+'User Inputs'!$H$66)^(AC$6-1)*365)))</f>
        <v/>
      </c>
      <c r="AD20" s="180" t="str">
        <f>IF(OR(AD$6&lt;1,'User Inputs'!$F$8="Tier 1 RE"),0,
IF(OR(
NOT(ISNUMBER('User Inputs'!$D$74)),
NOT(ISNUMBER('User Inputs'!$D$109))
),"",
IF(AD$6&gt;'User Inputs'!$D$74,0,
'User Inputs'!$D$109*
'User Inputs'!$H$74*
'User Inputs'!$F$66*
(1+'User Inputs'!$H$66)^(AD$6-1)*365)))</f>
        <v/>
      </c>
      <c r="AE20" s="180" t="str">
        <f>IF(OR(AE$6&lt;1,'User Inputs'!$F$8="Tier 1 RE"),0,
IF(OR(
NOT(ISNUMBER('User Inputs'!$D$74)),
NOT(ISNUMBER('User Inputs'!$D$109))
),"",
IF(AE$6&gt;'User Inputs'!$D$74,0,
'User Inputs'!$D$109*
'User Inputs'!$H$74*
'User Inputs'!$F$66*
(1+'User Inputs'!$H$66)^(AE$6-1)*365)))</f>
        <v/>
      </c>
      <c r="AF20" s="180" t="str">
        <f>IF(OR(AF$6&lt;1,'User Inputs'!$F$8="Tier 1 RE"),0,
IF(OR(
NOT(ISNUMBER('User Inputs'!$D$74)),
NOT(ISNUMBER('User Inputs'!$D$109))
),"",
IF(AF$6&gt;'User Inputs'!$D$74,0,
'User Inputs'!$D$109*
'User Inputs'!$H$74*
'User Inputs'!$F$66*
(1+'User Inputs'!$H$66)^(AF$6-1)*365)))</f>
        <v/>
      </c>
      <c r="AG20" s="180" t="str">
        <f>IF(OR(AG$6&lt;1,'User Inputs'!$F$8="Tier 1 RE"),0,
IF(OR(
NOT(ISNUMBER('User Inputs'!$D$74)),
NOT(ISNUMBER('User Inputs'!$D$109))
),"",
IF(AG$6&gt;'User Inputs'!$D$74,0,
'User Inputs'!$D$109*
'User Inputs'!$H$74*
'User Inputs'!$F$66*
(1+'User Inputs'!$H$66)^(AG$6-1)*365)))</f>
        <v/>
      </c>
      <c r="AH20" s="180" t="str">
        <f>IF(OR(AH$6&lt;1,'User Inputs'!$F$8="Tier 1 RE"),0,
IF(OR(
NOT(ISNUMBER('User Inputs'!$D$74)),
NOT(ISNUMBER('User Inputs'!$D$109))
),"",
IF(AH$6&gt;'User Inputs'!$D$74,0,
'User Inputs'!$D$109*
'User Inputs'!$H$74*
'User Inputs'!$F$66*
(1+'User Inputs'!$H$66)^(AH$6-1)*365)))</f>
        <v/>
      </c>
      <c r="AI20" s="180" t="str">
        <f>IF(OR(AI$6&lt;1,'User Inputs'!$F$8="Tier 1 RE"),0,
IF(OR(
NOT(ISNUMBER('User Inputs'!$D$74)),
NOT(ISNUMBER('User Inputs'!$D$109))
),"",
IF(AI$6&gt;'User Inputs'!$D$74,0,
'User Inputs'!$D$109*
'User Inputs'!$H$74*
'User Inputs'!$F$66*
(1+'User Inputs'!$H$66)^(AI$6-1)*365)))</f>
        <v/>
      </c>
      <c r="AJ20" s="180" t="str">
        <f>IF(OR(AJ$6&lt;1,'User Inputs'!$F$8="Tier 1 RE"),0,
IF(OR(
NOT(ISNUMBER('User Inputs'!$D$74)),
NOT(ISNUMBER('User Inputs'!$D$109))
),"",
IF(AJ$6&gt;'User Inputs'!$D$74,0,
'User Inputs'!$D$109*
'User Inputs'!$H$74*
'User Inputs'!$F$66*
(1+'User Inputs'!$H$66)^(AJ$6-1)*365)))</f>
        <v/>
      </c>
      <c r="AK20" s="180" t="str">
        <f>IF(OR(AK$6&lt;1,'User Inputs'!$F$8="Tier 1 RE"),0,
IF(OR(
NOT(ISNUMBER('User Inputs'!$D$74)),
NOT(ISNUMBER('User Inputs'!$D$109))
),"",
IF(AK$6&gt;'User Inputs'!$D$74,0,
'User Inputs'!$D$109*
'User Inputs'!$H$74*
'User Inputs'!$F$66*
(1+'User Inputs'!$H$66)^(AK$6-1)*365)))</f>
        <v/>
      </c>
      <c r="AL20" s="180" t="str">
        <f>IF(OR(AL$6&lt;1,'User Inputs'!$F$8="Tier 1 RE"),0,
IF(OR(
NOT(ISNUMBER('User Inputs'!$D$74)),
NOT(ISNUMBER('User Inputs'!$D$109))
),"",
IF(AL$6&gt;'User Inputs'!$D$74,0,
'User Inputs'!$D$109*
'User Inputs'!$H$74*
'User Inputs'!$F$66*
(1+'User Inputs'!$H$66)^(AL$6-1)*365)))</f>
        <v/>
      </c>
      <c r="AM20" s="180" t="str">
        <f>IF(OR(AM$6&lt;1,'User Inputs'!$F$8="Tier 1 RE"),0,
IF(OR(
NOT(ISNUMBER('User Inputs'!$D$74)),
NOT(ISNUMBER('User Inputs'!$D$109))
),"",
IF(AM$6&gt;'User Inputs'!$D$74,0,
'User Inputs'!$D$109*
'User Inputs'!$H$74*
'User Inputs'!$F$66*
(1+'User Inputs'!$H$66)^(AM$6-1)*365)))</f>
        <v/>
      </c>
    </row>
    <row r="21" spans="1:39" s="178" customFormat="1" ht="17.100000000000001" customHeight="1">
      <c r="A21" s="16"/>
      <c r="B21" s="168" t="s">
        <v>356</v>
      </c>
      <c r="C21" s="179">
        <f>0</f>
        <v>0</v>
      </c>
      <c r="D21" s="180">
        <f>0</f>
        <v>0</v>
      </c>
      <c r="E21" s="180" t="str">
        <f>IF(OR(E$6&lt;1,'User Inputs'!$F$8="Tier 1 RE"),0,
IF(OR(
NOT(ISNUMBER('User Inputs'!$D$74)),
NOT(ISNUMBER('User Inputs'!$D$109)),
NOT(ISNUMBER('User Inputs'!$B$74))
),"",
IF(E$6&gt;'User Inputs'!$D$74,0,
'User Inputs'!$D$109*
'User Inputs'!$B$76*
(1+'User Inputs'!$D$76)^(E$6-1)*
(1-'User Inputs'!$B$74)^(E$6-1))))</f>
        <v/>
      </c>
      <c r="F21" s="180" t="str">
        <f>IF(OR(F$6&lt;1,'User Inputs'!$F$8="Tier 1 RE"),0,
IF(OR(
NOT(ISNUMBER('User Inputs'!$D$74)),
NOT(ISNUMBER('User Inputs'!$D$109)),
NOT(ISNUMBER('User Inputs'!$B$74))
),"",
IF(F$6&gt;'User Inputs'!$D$74,0,
'User Inputs'!$D$109*
'User Inputs'!$B$76*
(1+'User Inputs'!$D$76)^(F$6-1)*
(1-'User Inputs'!$B$74)^(F$6-1))))</f>
        <v/>
      </c>
      <c r="G21" s="180" t="str">
        <f>IF(OR(G$6&lt;1,'User Inputs'!$F$8="Tier 1 RE"),0,
IF(OR(
NOT(ISNUMBER('User Inputs'!$D$74)),
NOT(ISNUMBER('User Inputs'!$D$109)),
NOT(ISNUMBER('User Inputs'!$B$74))
),"",
IF(G$6&gt;'User Inputs'!$D$74,0,
'User Inputs'!$D$109*
'User Inputs'!$B$76*
(1+'User Inputs'!$D$76)^(G$6-1)*
(1-'User Inputs'!$B$74)^(G$6-1))))</f>
        <v/>
      </c>
      <c r="H21" s="180" t="str">
        <f>IF(OR(H$6&lt;1,'User Inputs'!$F$8="Tier 1 RE"),0,
IF(OR(
NOT(ISNUMBER('User Inputs'!$D$74)),
NOT(ISNUMBER('User Inputs'!$D$109)),
NOT(ISNUMBER('User Inputs'!$B$74))
),"",
IF(H$6&gt;'User Inputs'!$D$74,0,
'User Inputs'!$D$109*
'User Inputs'!$B$76*
(1+'User Inputs'!$D$76)^(H$6-1)*
(1-'User Inputs'!$B$74)^(H$6-1))))</f>
        <v/>
      </c>
      <c r="I21" s="180" t="str">
        <f>IF(OR(I$6&lt;1,'User Inputs'!$F$8="Tier 1 RE"),0,
IF(OR(
NOT(ISNUMBER('User Inputs'!$D$74)),
NOT(ISNUMBER('User Inputs'!$D$109)),
NOT(ISNUMBER('User Inputs'!$B$74))
),"",
IF(I$6&gt;'User Inputs'!$D$74,0,
'User Inputs'!$D$109*
'User Inputs'!$B$76*
(1+'User Inputs'!$D$76)^(I$6-1)*
(1-'User Inputs'!$B$74)^(I$6-1))))</f>
        <v/>
      </c>
      <c r="J21" s="180" t="str">
        <f>IF(OR(J$6&lt;1,'User Inputs'!$F$8="Tier 1 RE"),0,
IF(OR(
NOT(ISNUMBER('User Inputs'!$D$74)),
NOT(ISNUMBER('User Inputs'!$D$109)),
NOT(ISNUMBER('User Inputs'!$B$74))
),"",
IF(J$6&gt;'User Inputs'!$D$74,0,
'User Inputs'!$D$109*
'User Inputs'!$B$76*
(1+'User Inputs'!$D$76)^(J$6-1)*
(1-'User Inputs'!$B$74)^(J$6-1))))</f>
        <v/>
      </c>
      <c r="K21" s="180" t="str">
        <f>IF(OR(K$6&lt;1,'User Inputs'!$F$8="Tier 1 RE"),0,
IF(OR(
NOT(ISNUMBER('User Inputs'!$D$74)),
NOT(ISNUMBER('User Inputs'!$D$109)),
NOT(ISNUMBER('User Inputs'!$B$74))
),"",
IF(K$6&gt;'User Inputs'!$D$74,0,
'User Inputs'!$D$109*
'User Inputs'!$B$76*
(1+'User Inputs'!$D$76)^(K$6-1)*
(1-'User Inputs'!$B$74)^(K$6-1))))</f>
        <v/>
      </c>
      <c r="L21" s="180" t="str">
        <f>IF(OR(L$6&lt;1,'User Inputs'!$F$8="Tier 1 RE"),0,
IF(OR(
NOT(ISNUMBER('User Inputs'!$D$74)),
NOT(ISNUMBER('User Inputs'!$D$109)),
NOT(ISNUMBER('User Inputs'!$B$74))
),"",
IF(L$6&gt;'User Inputs'!$D$74,0,
'User Inputs'!$D$109*
'User Inputs'!$B$76*
(1+'User Inputs'!$D$76)^(L$6-1)*
(1-'User Inputs'!$B$74)^(L$6-1))))</f>
        <v/>
      </c>
      <c r="M21" s="180" t="str">
        <f>IF(OR(M$6&lt;1,'User Inputs'!$F$8="Tier 1 RE"),0,
IF(OR(
NOT(ISNUMBER('User Inputs'!$D$74)),
NOT(ISNUMBER('User Inputs'!$D$109)),
NOT(ISNUMBER('User Inputs'!$B$74))
),"",
IF(M$6&gt;'User Inputs'!$D$74,0,
'User Inputs'!$D$109*
'User Inputs'!$B$76*
(1+'User Inputs'!$D$76)^(M$6-1)*
(1-'User Inputs'!$B$74)^(M$6-1))))</f>
        <v/>
      </c>
      <c r="N21" s="180" t="str">
        <f>IF(OR(N$6&lt;1,'User Inputs'!$F$8="Tier 1 RE"),0,
IF(OR(
NOT(ISNUMBER('User Inputs'!$D$74)),
NOT(ISNUMBER('User Inputs'!$D$109)),
NOT(ISNUMBER('User Inputs'!$B$74))
),"",
IF(N$6&gt;'User Inputs'!$D$74,0,
'User Inputs'!$D$109*
'User Inputs'!$B$76*
(1+'User Inputs'!$D$76)^(N$6-1)*
(1-'User Inputs'!$B$74)^(N$6-1))))</f>
        <v/>
      </c>
      <c r="O21" s="180" t="str">
        <f>IF(OR(O$6&lt;1,'User Inputs'!$F$8="Tier 1 RE"),0,
IF(OR(
NOT(ISNUMBER('User Inputs'!$D$74)),
NOT(ISNUMBER('User Inputs'!$D$109)),
NOT(ISNUMBER('User Inputs'!$B$74))
),"",
IF(O$6&gt;'User Inputs'!$D$74,0,
'User Inputs'!$D$109*
'User Inputs'!$B$76*
(1+'User Inputs'!$D$76)^(O$6-1)*
(1-'User Inputs'!$B$74)^(O$6-1))))</f>
        <v/>
      </c>
      <c r="P21" s="180" t="str">
        <f>IF(OR(P$6&lt;1,'User Inputs'!$F$8="Tier 1 RE"),0,
IF(OR(
NOT(ISNUMBER('User Inputs'!$D$74)),
NOT(ISNUMBER('User Inputs'!$D$109)),
NOT(ISNUMBER('User Inputs'!$B$74))
),"",
IF(P$6&gt;'User Inputs'!$D$74,0,
'User Inputs'!$D$109*
'User Inputs'!$B$76*
(1+'User Inputs'!$D$76)^(P$6-1)*
(1-'User Inputs'!$B$74)^(P$6-1))))</f>
        <v/>
      </c>
      <c r="Q21" s="180" t="str">
        <f>IF(OR(Q$6&lt;1,'User Inputs'!$F$8="Tier 1 RE"),0,
IF(OR(
NOT(ISNUMBER('User Inputs'!$D$74)),
NOT(ISNUMBER('User Inputs'!$D$109)),
NOT(ISNUMBER('User Inputs'!$B$74))
),"",
IF(Q$6&gt;'User Inputs'!$D$74,0,
'User Inputs'!$D$109*
'User Inputs'!$B$76*
(1+'User Inputs'!$D$76)^(Q$6-1)*
(1-'User Inputs'!$B$74)^(Q$6-1))))</f>
        <v/>
      </c>
      <c r="R21" s="180" t="str">
        <f>IF(OR(R$6&lt;1,'User Inputs'!$F$8="Tier 1 RE"),0,
IF(OR(
NOT(ISNUMBER('User Inputs'!$D$74)),
NOT(ISNUMBER('User Inputs'!$D$109)),
NOT(ISNUMBER('User Inputs'!$B$74))
),"",
IF(R$6&gt;'User Inputs'!$D$74,0,
'User Inputs'!$D$109*
'User Inputs'!$B$76*
(1+'User Inputs'!$D$76)^(R$6-1)*
(1-'User Inputs'!$B$74)^(R$6-1))))</f>
        <v/>
      </c>
      <c r="S21" s="180" t="str">
        <f>IF(OR(S$6&lt;1,'User Inputs'!$F$8="Tier 1 RE"),0,
IF(OR(
NOT(ISNUMBER('User Inputs'!$D$74)),
NOT(ISNUMBER('User Inputs'!$D$109)),
NOT(ISNUMBER('User Inputs'!$B$74))
),"",
IF(S$6&gt;'User Inputs'!$D$74,0,
'User Inputs'!$D$109*
'User Inputs'!$B$76*
(1+'User Inputs'!$D$76)^(S$6-1)*
(1-'User Inputs'!$B$74)^(S$6-1))))</f>
        <v/>
      </c>
      <c r="T21" s="180" t="str">
        <f>IF(OR(T$6&lt;1,'User Inputs'!$F$8="Tier 1 RE"),0,
IF(OR(
NOT(ISNUMBER('User Inputs'!$D$74)),
NOT(ISNUMBER('User Inputs'!$D$109)),
NOT(ISNUMBER('User Inputs'!$B$74))
),"",
IF(T$6&gt;'User Inputs'!$D$74,0,
'User Inputs'!$D$109*
'User Inputs'!$B$76*
(1+'User Inputs'!$D$76)^(T$6-1)*
(1-'User Inputs'!$B$74)^(T$6-1))))</f>
        <v/>
      </c>
      <c r="U21" s="180" t="str">
        <f>IF(OR(U$6&lt;1,'User Inputs'!$F$8="Tier 1 RE"),0,
IF(OR(
NOT(ISNUMBER('User Inputs'!$D$74)),
NOT(ISNUMBER('User Inputs'!$D$109)),
NOT(ISNUMBER('User Inputs'!$B$74))
),"",
IF(U$6&gt;'User Inputs'!$D$74,0,
'User Inputs'!$D$109*
'User Inputs'!$B$76*
(1+'User Inputs'!$D$76)^(U$6-1)*
(1-'User Inputs'!$B$74)^(U$6-1))))</f>
        <v/>
      </c>
      <c r="V21" s="180" t="str">
        <f>IF(OR(V$6&lt;1,'User Inputs'!$F$8="Tier 1 RE"),0,
IF(OR(
NOT(ISNUMBER('User Inputs'!$D$74)),
NOT(ISNUMBER('User Inputs'!$D$109)),
NOT(ISNUMBER('User Inputs'!$B$74))
),"",
IF(V$6&gt;'User Inputs'!$D$74,0,
'User Inputs'!$D$109*
'User Inputs'!$B$76*
(1+'User Inputs'!$D$76)^(V$6-1)*
(1-'User Inputs'!$B$74)^(V$6-1))))</f>
        <v/>
      </c>
      <c r="W21" s="180" t="str">
        <f>IF(OR(W$6&lt;1,'User Inputs'!$F$8="Tier 1 RE"),0,
IF(OR(
NOT(ISNUMBER('User Inputs'!$D$74)),
NOT(ISNUMBER('User Inputs'!$D$109)),
NOT(ISNUMBER('User Inputs'!$B$74))
),"",
IF(W$6&gt;'User Inputs'!$D$74,0,
'User Inputs'!$D$109*
'User Inputs'!$B$76*
(1+'User Inputs'!$D$76)^(W$6-1)*
(1-'User Inputs'!$B$74)^(W$6-1))))</f>
        <v/>
      </c>
      <c r="X21" s="180" t="str">
        <f>IF(OR(X$6&lt;1,'User Inputs'!$F$8="Tier 1 RE"),0,
IF(OR(
NOT(ISNUMBER('User Inputs'!$D$74)),
NOT(ISNUMBER('User Inputs'!$D$109)),
NOT(ISNUMBER('User Inputs'!$B$74))
),"",
IF(X$6&gt;'User Inputs'!$D$74,0,
'User Inputs'!$D$109*
'User Inputs'!$B$76*
(1+'User Inputs'!$D$76)^(X$6-1)*
(1-'User Inputs'!$B$74)^(X$6-1))))</f>
        <v/>
      </c>
      <c r="Y21" s="180" t="str">
        <f>IF(OR(Y$6&lt;1,'User Inputs'!$F$8="Tier 1 RE"),0,
IF(OR(
NOT(ISNUMBER('User Inputs'!$D$74)),
NOT(ISNUMBER('User Inputs'!$D$109)),
NOT(ISNUMBER('User Inputs'!$B$74))
),"",
IF(Y$6&gt;'User Inputs'!$D$74,0,
'User Inputs'!$D$109*
'User Inputs'!$B$76*
(1+'User Inputs'!$D$76)^(Y$6-1)*
(1-'User Inputs'!$B$74)^(Y$6-1))))</f>
        <v/>
      </c>
      <c r="Z21" s="180" t="str">
        <f>IF(OR(Z$6&lt;1,'User Inputs'!$F$8="Tier 1 RE"),0,
IF(OR(
NOT(ISNUMBER('User Inputs'!$D$74)),
NOT(ISNUMBER('User Inputs'!$D$109)),
NOT(ISNUMBER('User Inputs'!$B$74))
),"",
IF(Z$6&gt;'User Inputs'!$D$74,0,
'User Inputs'!$D$109*
'User Inputs'!$B$76*
(1+'User Inputs'!$D$76)^(Z$6-1)*
(1-'User Inputs'!$B$74)^(Z$6-1))))</f>
        <v/>
      </c>
      <c r="AA21" s="180" t="str">
        <f>IF(OR(AA$6&lt;1,'User Inputs'!$F$8="Tier 1 RE"),0,
IF(OR(
NOT(ISNUMBER('User Inputs'!$D$74)),
NOT(ISNUMBER('User Inputs'!$D$109)),
NOT(ISNUMBER('User Inputs'!$B$74))
),"",
IF(AA$6&gt;'User Inputs'!$D$74,0,
'User Inputs'!$D$109*
'User Inputs'!$B$76*
(1+'User Inputs'!$D$76)^(AA$6-1)*
(1-'User Inputs'!$B$74)^(AA$6-1))))</f>
        <v/>
      </c>
      <c r="AB21" s="180" t="str">
        <f>IF(OR(AB$6&lt;1,'User Inputs'!$F$8="Tier 1 RE"),0,
IF(OR(
NOT(ISNUMBER('User Inputs'!$D$74)),
NOT(ISNUMBER('User Inputs'!$D$109)),
NOT(ISNUMBER('User Inputs'!$B$74))
),"",
IF(AB$6&gt;'User Inputs'!$D$74,0,
'User Inputs'!$D$109*
'User Inputs'!$B$76*
(1+'User Inputs'!$D$76)^(AB$6-1)*
(1-'User Inputs'!$B$74)^(AB$6-1))))</f>
        <v/>
      </c>
      <c r="AC21" s="180" t="str">
        <f>IF(OR(AC$6&lt;1,'User Inputs'!$F$8="Tier 1 RE"),0,
IF(OR(
NOT(ISNUMBER('User Inputs'!$D$74)),
NOT(ISNUMBER('User Inputs'!$D$109)),
NOT(ISNUMBER('User Inputs'!$B$74))
),"",
IF(AC$6&gt;'User Inputs'!$D$74,0,
'User Inputs'!$D$109*
'User Inputs'!$B$76*
(1+'User Inputs'!$D$76)^(AC$6-1)*
(1-'User Inputs'!$B$74)^(AC$6-1))))</f>
        <v/>
      </c>
      <c r="AD21" s="180" t="str">
        <f>IF(OR(AD$6&lt;1,'User Inputs'!$F$8="Tier 1 RE"),0,
IF(OR(
NOT(ISNUMBER('User Inputs'!$D$74)),
NOT(ISNUMBER('User Inputs'!$D$109)),
NOT(ISNUMBER('User Inputs'!$B$74))
),"",
IF(AD$6&gt;'User Inputs'!$D$74,0,
'User Inputs'!$D$109*
'User Inputs'!$B$76*
(1+'User Inputs'!$D$76)^(AD$6-1)*
(1-'User Inputs'!$B$74)^(AD$6-1))))</f>
        <v/>
      </c>
      <c r="AE21" s="180" t="str">
        <f>IF(OR(AE$6&lt;1,'User Inputs'!$F$8="Tier 1 RE"),0,
IF(OR(
NOT(ISNUMBER('User Inputs'!$D$74)),
NOT(ISNUMBER('User Inputs'!$D$109)),
NOT(ISNUMBER('User Inputs'!$B$74))
),"",
IF(AE$6&gt;'User Inputs'!$D$74,0,
'User Inputs'!$D$109*
'User Inputs'!$B$76*
(1+'User Inputs'!$D$76)^(AE$6-1)*
(1-'User Inputs'!$B$74)^(AE$6-1))))</f>
        <v/>
      </c>
      <c r="AF21" s="180" t="str">
        <f>IF(OR(AF$6&lt;1,'User Inputs'!$F$8="Tier 1 RE"),0,
IF(OR(
NOT(ISNUMBER('User Inputs'!$D$74)),
NOT(ISNUMBER('User Inputs'!$D$109)),
NOT(ISNUMBER('User Inputs'!$B$74))
),"",
IF(AF$6&gt;'User Inputs'!$D$74,0,
'User Inputs'!$D$109*
'User Inputs'!$B$76*
(1+'User Inputs'!$D$76)^(AF$6-1)*
(1-'User Inputs'!$B$74)^(AF$6-1))))</f>
        <v/>
      </c>
      <c r="AG21" s="180" t="str">
        <f>IF(OR(AG$6&lt;1,'User Inputs'!$F$8="Tier 1 RE"),0,
IF(OR(
NOT(ISNUMBER('User Inputs'!$D$74)),
NOT(ISNUMBER('User Inputs'!$D$109)),
NOT(ISNUMBER('User Inputs'!$B$74))
),"",
IF(AG$6&gt;'User Inputs'!$D$74,0,
'User Inputs'!$D$109*
'User Inputs'!$B$76*
(1+'User Inputs'!$D$76)^(AG$6-1)*
(1-'User Inputs'!$B$74)^(AG$6-1))))</f>
        <v/>
      </c>
      <c r="AH21" s="180" t="str">
        <f>IF(OR(AH$6&lt;1,'User Inputs'!$F$8="Tier 1 RE"),0,
IF(OR(
NOT(ISNUMBER('User Inputs'!$D$74)),
NOT(ISNUMBER('User Inputs'!$D$109)),
NOT(ISNUMBER('User Inputs'!$B$74))
),"",
IF(AH$6&gt;'User Inputs'!$D$74,0,
'User Inputs'!$D$109*
'User Inputs'!$B$76*
(1+'User Inputs'!$D$76)^(AH$6-1)*
(1-'User Inputs'!$B$74)^(AH$6-1))))</f>
        <v/>
      </c>
      <c r="AI21" s="180" t="str">
        <f>IF(OR(AI$6&lt;1,'User Inputs'!$F$8="Tier 1 RE"),0,
IF(OR(
NOT(ISNUMBER('User Inputs'!$D$74)),
NOT(ISNUMBER('User Inputs'!$D$109)),
NOT(ISNUMBER('User Inputs'!$B$74))
),"",
IF(AI$6&gt;'User Inputs'!$D$74,0,
'User Inputs'!$D$109*
'User Inputs'!$B$76*
(1+'User Inputs'!$D$76)^(AI$6-1)*
(1-'User Inputs'!$B$74)^(AI$6-1))))</f>
        <v/>
      </c>
      <c r="AJ21" s="180" t="str">
        <f>IF(OR(AJ$6&lt;1,'User Inputs'!$F$8="Tier 1 RE"),0,
IF(OR(
NOT(ISNUMBER('User Inputs'!$D$74)),
NOT(ISNUMBER('User Inputs'!$D$109)),
NOT(ISNUMBER('User Inputs'!$B$74))
),"",
IF(AJ$6&gt;'User Inputs'!$D$74,0,
'User Inputs'!$D$109*
'User Inputs'!$B$76*
(1+'User Inputs'!$D$76)^(AJ$6-1)*
(1-'User Inputs'!$B$74)^(AJ$6-1))))</f>
        <v/>
      </c>
      <c r="AK21" s="180" t="str">
        <f>IF(OR(AK$6&lt;1,'User Inputs'!$F$8="Tier 1 RE"),0,
IF(OR(
NOT(ISNUMBER('User Inputs'!$D$74)),
NOT(ISNUMBER('User Inputs'!$D$109)),
NOT(ISNUMBER('User Inputs'!$B$74))
),"",
IF(AK$6&gt;'User Inputs'!$D$74,0,
'User Inputs'!$D$109*
'User Inputs'!$B$76*
(1+'User Inputs'!$D$76)^(AK$6-1)*
(1-'User Inputs'!$B$74)^(AK$6-1))))</f>
        <v/>
      </c>
      <c r="AL21" s="180" t="str">
        <f>IF(OR(AL$6&lt;1,'User Inputs'!$F$8="Tier 1 RE"),0,
IF(OR(
NOT(ISNUMBER('User Inputs'!$D$74)),
NOT(ISNUMBER('User Inputs'!$D$109)),
NOT(ISNUMBER('User Inputs'!$B$74))
),"",
IF(AL$6&gt;'User Inputs'!$D$74,0,
'User Inputs'!$D$109*
'User Inputs'!$B$76*
(1+'User Inputs'!$D$76)^(AL$6-1)*
(1-'User Inputs'!$B$74)^(AL$6-1))))</f>
        <v/>
      </c>
      <c r="AM21" s="180" t="str">
        <f>IF(OR(AM$6&lt;1,'User Inputs'!$F$8="Tier 1 RE"),0,
IF(OR(
NOT(ISNUMBER('User Inputs'!$D$74)),
NOT(ISNUMBER('User Inputs'!$D$109)),
NOT(ISNUMBER('User Inputs'!$B$74))
),"",
IF(AM$6&gt;'User Inputs'!$D$74,0,
'User Inputs'!$D$109*
'User Inputs'!$B$76*
(1+'User Inputs'!$D$76)^(AM$6-1)*
(1-'User Inputs'!$B$74)^(AM$6-1))))</f>
        <v/>
      </c>
    </row>
    <row r="22" spans="1:39" s="178" customFormat="1" ht="17.100000000000001" customHeight="1">
      <c r="A22" s="16"/>
      <c r="B22" s="168" t="s">
        <v>357</v>
      </c>
      <c r="C22" s="179">
        <f>0</f>
        <v>0</v>
      </c>
      <c r="D22" s="180">
        <f>0</f>
        <v>0</v>
      </c>
      <c r="E22" s="180" t="str">
        <f>IF(OR(E$6&lt;1,'User Inputs'!$F$8="Tier 1 RE"),0,
IF(OR(NOT(ISNUMBER('User Inputs'!$D$74)),NOT(ISNUMBER('User Inputs'!$D$109))),"",
IF(E$6&gt;'User Inputs'!$D$74,0,
'User Inputs'!$D$109*1000*12*
'User Inputs'!$F$76*
(1+'User Inputs'!$H$76)^(E$6-1))))</f>
        <v/>
      </c>
      <c r="F22" s="180" t="str">
        <f>IF(OR(F$6&lt;1,'User Inputs'!$F$8="Tier 1 RE"),0,
IF(OR(NOT(ISNUMBER('User Inputs'!$D$74)),NOT(ISNUMBER('User Inputs'!$D$109))),"",
IF(F$6&gt;'User Inputs'!$D$74,0,
'User Inputs'!$D$109*1000*12*
'User Inputs'!$F$76*
(1+'User Inputs'!$H$76)^(F$6-1))))</f>
        <v/>
      </c>
      <c r="G22" s="180" t="str">
        <f>IF(OR(G$6&lt;1,'User Inputs'!$F$8="Tier 1 RE"),0,
IF(OR(NOT(ISNUMBER('User Inputs'!$D$74)),NOT(ISNUMBER('User Inputs'!$D$109))),"",
IF(G$6&gt;'User Inputs'!$D$74,0,
'User Inputs'!$D$109*1000*12*
'User Inputs'!$F$76*
(1+'User Inputs'!$H$76)^(G$6-1))))</f>
        <v/>
      </c>
      <c r="H22" s="180" t="str">
        <f>IF(OR(H$6&lt;1,'User Inputs'!$F$8="Tier 1 RE"),0,
IF(OR(NOT(ISNUMBER('User Inputs'!$D$74)),NOT(ISNUMBER('User Inputs'!$D$109))),"",
IF(H$6&gt;'User Inputs'!$D$74,0,
'User Inputs'!$D$109*1000*12*
'User Inputs'!$F$76*
(1+'User Inputs'!$H$76)^(H$6-1))))</f>
        <v/>
      </c>
      <c r="I22" s="180" t="str">
        <f>IF(OR(I$6&lt;1,'User Inputs'!$F$8="Tier 1 RE"),0,
IF(OR(NOT(ISNUMBER('User Inputs'!$D$74)),NOT(ISNUMBER('User Inputs'!$D$109))),"",
IF(I$6&gt;'User Inputs'!$D$74,0,
'User Inputs'!$D$109*1000*12*
'User Inputs'!$F$76*
(1+'User Inputs'!$H$76)^(I$6-1))))</f>
        <v/>
      </c>
      <c r="J22" s="180" t="str">
        <f>IF(OR(J$6&lt;1,'User Inputs'!$F$8="Tier 1 RE"),0,
IF(OR(NOT(ISNUMBER('User Inputs'!$D$74)),NOT(ISNUMBER('User Inputs'!$D$109))),"",
IF(J$6&gt;'User Inputs'!$D$74,0,
'User Inputs'!$D$109*1000*12*
'User Inputs'!$F$76*
(1+'User Inputs'!$H$76)^(J$6-1))))</f>
        <v/>
      </c>
      <c r="K22" s="180" t="str">
        <f>IF(OR(K$6&lt;1,'User Inputs'!$F$8="Tier 1 RE"),0,
IF(OR(NOT(ISNUMBER('User Inputs'!$D$74)),NOT(ISNUMBER('User Inputs'!$D$109))),"",
IF(K$6&gt;'User Inputs'!$D$74,0,
'User Inputs'!$D$109*1000*12*
'User Inputs'!$F$76*
(1+'User Inputs'!$H$76)^(K$6-1))))</f>
        <v/>
      </c>
      <c r="L22" s="180" t="str">
        <f>IF(OR(L$6&lt;1,'User Inputs'!$F$8="Tier 1 RE"),0,
IF(OR(NOT(ISNUMBER('User Inputs'!$D$74)),NOT(ISNUMBER('User Inputs'!$D$109))),"",
IF(L$6&gt;'User Inputs'!$D$74,0,
'User Inputs'!$D$109*1000*12*
'User Inputs'!$F$76*
(1+'User Inputs'!$H$76)^(L$6-1))))</f>
        <v/>
      </c>
      <c r="M22" s="180" t="str">
        <f>IF(OR(M$6&lt;1,'User Inputs'!$F$8="Tier 1 RE"),0,
IF(OR(NOT(ISNUMBER('User Inputs'!$D$74)),NOT(ISNUMBER('User Inputs'!$D$109))),"",
IF(M$6&gt;'User Inputs'!$D$74,0,
'User Inputs'!$D$109*1000*12*
'User Inputs'!$F$76*
(1+'User Inputs'!$H$76)^(M$6-1))))</f>
        <v/>
      </c>
      <c r="N22" s="180" t="str">
        <f>IF(OR(N$6&lt;1,'User Inputs'!$F$8="Tier 1 RE"),0,
IF(OR(NOT(ISNUMBER('User Inputs'!$D$74)),NOT(ISNUMBER('User Inputs'!$D$109))),"",
IF(N$6&gt;'User Inputs'!$D$74,0,
'User Inputs'!$D$109*1000*12*
'User Inputs'!$F$76*
(1+'User Inputs'!$H$76)^(N$6-1))))</f>
        <v/>
      </c>
      <c r="O22" s="180" t="str">
        <f>IF(OR(O$6&lt;1,'User Inputs'!$F$8="Tier 1 RE"),0,
IF(OR(NOT(ISNUMBER('User Inputs'!$D$74)),NOT(ISNUMBER('User Inputs'!$D$109))),"",
IF(O$6&gt;'User Inputs'!$D$74,0,
'User Inputs'!$D$109*1000*12*
'User Inputs'!$F$76*
(1+'User Inputs'!$H$76)^(O$6-1))))</f>
        <v/>
      </c>
      <c r="P22" s="180" t="str">
        <f>IF(OR(P$6&lt;1,'User Inputs'!$F$8="Tier 1 RE"),0,
IF(OR(NOT(ISNUMBER('User Inputs'!$D$74)),NOT(ISNUMBER('User Inputs'!$D$109))),"",
IF(P$6&gt;'User Inputs'!$D$74,0,
'User Inputs'!$D$109*1000*12*
'User Inputs'!$F$76*
(1+'User Inputs'!$H$76)^(P$6-1))))</f>
        <v/>
      </c>
      <c r="Q22" s="180" t="str">
        <f>IF(OR(Q$6&lt;1,'User Inputs'!$F$8="Tier 1 RE"),0,
IF(OR(NOT(ISNUMBER('User Inputs'!$D$74)),NOT(ISNUMBER('User Inputs'!$D$109))),"",
IF(Q$6&gt;'User Inputs'!$D$74,0,
'User Inputs'!$D$109*1000*12*
'User Inputs'!$F$76*
(1+'User Inputs'!$H$76)^(Q$6-1))))</f>
        <v/>
      </c>
      <c r="R22" s="180" t="str">
        <f>IF(OR(R$6&lt;1,'User Inputs'!$F$8="Tier 1 RE"),0,
IF(OR(NOT(ISNUMBER('User Inputs'!$D$74)),NOT(ISNUMBER('User Inputs'!$D$109))),"",
IF(R$6&gt;'User Inputs'!$D$74,0,
'User Inputs'!$D$109*1000*12*
'User Inputs'!$F$76*
(1+'User Inputs'!$H$76)^(R$6-1))))</f>
        <v/>
      </c>
      <c r="S22" s="180" t="str">
        <f>IF(OR(S$6&lt;1,'User Inputs'!$F$8="Tier 1 RE"),0,
IF(OR(NOT(ISNUMBER('User Inputs'!$D$74)),NOT(ISNUMBER('User Inputs'!$D$109))),"",
IF(S$6&gt;'User Inputs'!$D$74,0,
'User Inputs'!$D$109*1000*12*
'User Inputs'!$F$76*
(1+'User Inputs'!$H$76)^(S$6-1))))</f>
        <v/>
      </c>
      <c r="T22" s="180" t="str">
        <f>IF(OR(T$6&lt;1,'User Inputs'!$F$8="Tier 1 RE"),0,
IF(OR(NOT(ISNUMBER('User Inputs'!$D$74)),NOT(ISNUMBER('User Inputs'!$D$109))),"",
IF(T$6&gt;'User Inputs'!$D$74,0,
'User Inputs'!$D$109*1000*12*
'User Inputs'!$F$76*
(1+'User Inputs'!$H$76)^(T$6-1))))</f>
        <v/>
      </c>
      <c r="U22" s="180" t="str">
        <f>IF(OR(U$6&lt;1,'User Inputs'!$F$8="Tier 1 RE"),0,
IF(OR(NOT(ISNUMBER('User Inputs'!$D$74)),NOT(ISNUMBER('User Inputs'!$D$109))),"",
IF(U$6&gt;'User Inputs'!$D$74,0,
'User Inputs'!$D$109*1000*12*
'User Inputs'!$F$76*
(1+'User Inputs'!$H$76)^(U$6-1))))</f>
        <v/>
      </c>
      <c r="V22" s="180" t="str">
        <f>IF(OR(V$6&lt;1,'User Inputs'!$F$8="Tier 1 RE"),0,
IF(OR(NOT(ISNUMBER('User Inputs'!$D$74)),NOT(ISNUMBER('User Inputs'!$D$109))),"",
IF(V$6&gt;'User Inputs'!$D$74,0,
'User Inputs'!$D$109*1000*12*
'User Inputs'!$F$76*
(1+'User Inputs'!$H$76)^(V$6-1))))</f>
        <v/>
      </c>
      <c r="W22" s="180" t="str">
        <f>IF(OR(W$6&lt;1,'User Inputs'!$F$8="Tier 1 RE"),0,
IF(OR(NOT(ISNUMBER('User Inputs'!$D$74)),NOT(ISNUMBER('User Inputs'!$D$109))),"",
IF(W$6&gt;'User Inputs'!$D$74,0,
'User Inputs'!$D$109*1000*12*
'User Inputs'!$F$76*
(1+'User Inputs'!$H$76)^(W$6-1))))</f>
        <v/>
      </c>
      <c r="X22" s="180" t="str">
        <f>IF(OR(X$6&lt;1,'User Inputs'!$F$8="Tier 1 RE"),0,
IF(OR(NOT(ISNUMBER('User Inputs'!$D$74)),NOT(ISNUMBER('User Inputs'!$D$109))),"",
IF(X$6&gt;'User Inputs'!$D$74,0,
'User Inputs'!$D$109*1000*12*
'User Inputs'!$F$76*
(1+'User Inputs'!$H$76)^(X$6-1))))</f>
        <v/>
      </c>
      <c r="Y22" s="180" t="str">
        <f>IF(OR(Y$6&lt;1,'User Inputs'!$F$8="Tier 1 RE"),0,
IF(OR(NOT(ISNUMBER('User Inputs'!$D$74)),NOT(ISNUMBER('User Inputs'!$D$109))),"",
IF(Y$6&gt;'User Inputs'!$D$74,0,
'User Inputs'!$D$109*1000*12*
'User Inputs'!$F$76*
(1+'User Inputs'!$H$76)^(Y$6-1))))</f>
        <v/>
      </c>
      <c r="Z22" s="180" t="str">
        <f>IF(OR(Z$6&lt;1,'User Inputs'!$F$8="Tier 1 RE"),0,
IF(OR(NOT(ISNUMBER('User Inputs'!$D$74)),NOT(ISNUMBER('User Inputs'!$D$109))),"",
IF(Z$6&gt;'User Inputs'!$D$74,0,
'User Inputs'!$D$109*1000*12*
'User Inputs'!$F$76*
(1+'User Inputs'!$H$76)^(Z$6-1))))</f>
        <v/>
      </c>
      <c r="AA22" s="180" t="str">
        <f>IF(OR(AA$6&lt;1,'User Inputs'!$F$8="Tier 1 RE"),0,
IF(OR(NOT(ISNUMBER('User Inputs'!$D$74)),NOT(ISNUMBER('User Inputs'!$D$109))),"",
IF(AA$6&gt;'User Inputs'!$D$74,0,
'User Inputs'!$D$109*1000*12*
'User Inputs'!$F$76*
(1+'User Inputs'!$H$76)^(AA$6-1))))</f>
        <v/>
      </c>
      <c r="AB22" s="180" t="str">
        <f>IF(OR(AB$6&lt;1,'User Inputs'!$F$8="Tier 1 RE"),0,
IF(OR(NOT(ISNUMBER('User Inputs'!$D$74)),NOT(ISNUMBER('User Inputs'!$D$109))),"",
IF(AB$6&gt;'User Inputs'!$D$74,0,
'User Inputs'!$D$109*1000*12*
'User Inputs'!$F$76*
(1+'User Inputs'!$H$76)^(AB$6-1))))</f>
        <v/>
      </c>
      <c r="AC22" s="180" t="str">
        <f>IF(OR(AC$6&lt;1,'User Inputs'!$F$8="Tier 1 RE"),0,
IF(OR(NOT(ISNUMBER('User Inputs'!$D$74)),NOT(ISNUMBER('User Inputs'!$D$109))),"",
IF(AC$6&gt;'User Inputs'!$D$74,0,
'User Inputs'!$D$109*1000*12*
'User Inputs'!$F$76*
(1+'User Inputs'!$H$76)^(AC$6-1))))</f>
        <v/>
      </c>
      <c r="AD22" s="180" t="str">
        <f>IF(OR(AD$6&lt;1,'User Inputs'!$F$8="Tier 1 RE"),0,
IF(OR(NOT(ISNUMBER('User Inputs'!$D$74)),NOT(ISNUMBER('User Inputs'!$D$109))),"",
IF(AD$6&gt;'User Inputs'!$D$74,0,
'User Inputs'!$D$109*1000*12*
'User Inputs'!$F$76*
(1+'User Inputs'!$H$76)^(AD$6-1))))</f>
        <v/>
      </c>
      <c r="AE22" s="180" t="str">
        <f>IF(OR(AE$6&lt;1,'User Inputs'!$F$8="Tier 1 RE"),0,
IF(OR(NOT(ISNUMBER('User Inputs'!$D$74)),NOT(ISNUMBER('User Inputs'!$D$109))),"",
IF(AE$6&gt;'User Inputs'!$D$74,0,
'User Inputs'!$D$109*1000*12*
'User Inputs'!$F$76*
(1+'User Inputs'!$H$76)^(AE$6-1))))</f>
        <v/>
      </c>
      <c r="AF22" s="180" t="str">
        <f>IF(OR(AF$6&lt;1,'User Inputs'!$F$8="Tier 1 RE"),0,
IF(OR(NOT(ISNUMBER('User Inputs'!$D$74)),NOT(ISNUMBER('User Inputs'!$D$109))),"",
IF(AF$6&gt;'User Inputs'!$D$74,0,
'User Inputs'!$D$109*1000*12*
'User Inputs'!$F$76*
(1+'User Inputs'!$H$76)^(AF$6-1))))</f>
        <v/>
      </c>
      <c r="AG22" s="180" t="str">
        <f>IF(OR(AG$6&lt;1,'User Inputs'!$F$8="Tier 1 RE"),0,
IF(OR(NOT(ISNUMBER('User Inputs'!$D$74)),NOT(ISNUMBER('User Inputs'!$D$109))),"",
IF(AG$6&gt;'User Inputs'!$D$74,0,
'User Inputs'!$D$109*1000*12*
'User Inputs'!$F$76*
(1+'User Inputs'!$H$76)^(AG$6-1))))</f>
        <v/>
      </c>
      <c r="AH22" s="180" t="str">
        <f>IF(OR(AH$6&lt;1,'User Inputs'!$F$8="Tier 1 RE"),0,
IF(OR(NOT(ISNUMBER('User Inputs'!$D$74)),NOT(ISNUMBER('User Inputs'!$D$109))),"",
IF(AH$6&gt;'User Inputs'!$D$74,0,
'User Inputs'!$D$109*1000*12*
'User Inputs'!$F$76*
(1+'User Inputs'!$H$76)^(AH$6-1))))</f>
        <v/>
      </c>
      <c r="AI22" s="180" t="str">
        <f>IF(OR(AI$6&lt;1,'User Inputs'!$F$8="Tier 1 RE"),0,
IF(OR(NOT(ISNUMBER('User Inputs'!$D$74)),NOT(ISNUMBER('User Inputs'!$D$109))),"",
IF(AI$6&gt;'User Inputs'!$D$74,0,
'User Inputs'!$D$109*1000*12*
'User Inputs'!$F$76*
(1+'User Inputs'!$H$76)^(AI$6-1))))</f>
        <v/>
      </c>
      <c r="AJ22" s="180" t="str">
        <f>IF(OR(AJ$6&lt;1,'User Inputs'!$F$8="Tier 1 RE"),0,
IF(OR(NOT(ISNUMBER('User Inputs'!$D$74)),NOT(ISNUMBER('User Inputs'!$D$109))),"",
IF(AJ$6&gt;'User Inputs'!$D$74,0,
'User Inputs'!$D$109*1000*12*
'User Inputs'!$F$76*
(1+'User Inputs'!$H$76)^(AJ$6-1))))</f>
        <v/>
      </c>
      <c r="AK22" s="180" t="str">
        <f>IF(OR(AK$6&lt;1,'User Inputs'!$F$8="Tier 1 RE"),0,
IF(OR(NOT(ISNUMBER('User Inputs'!$D$74)),NOT(ISNUMBER('User Inputs'!$D$109))),"",
IF(AK$6&gt;'User Inputs'!$D$74,0,
'User Inputs'!$D$109*1000*12*
'User Inputs'!$F$76*
(1+'User Inputs'!$H$76)^(AK$6-1))))</f>
        <v/>
      </c>
      <c r="AL22" s="180" t="str">
        <f>IF(OR(AL$6&lt;1,'User Inputs'!$F$8="Tier 1 RE"),0,
IF(OR(NOT(ISNUMBER('User Inputs'!$D$74)),NOT(ISNUMBER('User Inputs'!$D$109))),"",
IF(AL$6&gt;'User Inputs'!$D$74,0,
'User Inputs'!$D$109*1000*12*
'User Inputs'!$F$76*
(1+'User Inputs'!$H$76)^(AL$6-1))))</f>
        <v/>
      </c>
      <c r="AM22" s="180" t="str">
        <f>IF(OR(AM$6&lt;1,'User Inputs'!$F$8="Tier 1 RE"),0,
IF(OR(NOT(ISNUMBER('User Inputs'!$D$74)),NOT(ISNUMBER('User Inputs'!$D$109))),"",
IF(AM$6&gt;'User Inputs'!$D$74,0,
'User Inputs'!$D$109*1000*12*
'User Inputs'!$F$76*
(1+'User Inputs'!$H$76)^(AM$6-1))))</f>
        <v/>
      </c>
    </row>
    <row r="23" spans="1:39" ht="23.45">
      <c r="A23" s="16"/>
      <c r="B23" s="167"/>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row>
    <row r="24" spans="1:39" ht="23.45">
      <c r="A24" s="16"/>
      <c r="B24" s="174" t="s">
        <v>358</v>
      </c>
      <c r="C24" s="175"/>
      <c r="D24" s="175"/>
      <c r="E24" s="175"/>
      <c r="F24" s="175"/>
      <c r="G24" s="175"/>
      <c r="H24" s="175"/>
      <c r="I24" s="175"/>
      <c r="J24" s="175"/>
      <c r="K24" s="175"/>
      <c r="L24" s="175"/>
      <c r="M24" s="175"/>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row>
    <row r="25" spans="1:39" s="178" customFormat="1" ht="17.100000000000001" customHeight="1">
      <c r="A25" s="16"/>
      <c r="B25" s="168" t="s">
        <v>359</v>
      </c>
      <c r="C25" s="179">
        <f>0</f>
        <v>0</v>
      </c>
      <c r="D25" s="179">
        <f>0</f>
        <v>0</v>
      </c>
      <c r="E25" s="180">
        <f ca="1">SUM(E11:E16)+SUM(E20:E22)</f>
        <v>0</v>
      </c>
      <c r="F25" s="180">
        <f t="shared" ref="F25:AM25" ca="1" si="2">SUM(F11:F16)+SUM(F20:F22)</f>
        <v>0</v>
      </c>
      <c r="G25" s="180">
        <f t="shared" ca="1" si="2"/>
        <v>0</v>
      </c>
      <c r="H25" s="180">
        <f t="shared" ca="1" si="2"/>
        <v>0</v>
      </c>
      <c r="I25" s="180">
        <f t="shared" ca="1" si="2"/>
        <v>0</v>
      </c>
      <c r="J25" s="180">
        <f t="shared" ca="1" si="2"/>
        <v>0</v>
      </c>
      <c r="K25" s="180">
        <f t="shared" ca="1" si="2"/>
        <v>0</v>
      </c>
      <c r="L25" s="180">
        <f t="shared" ca="1" si="2"/>
        <v>0</v>
      </c>
      <c r="M25" s="180">
        <f t="shared" ca="1" si="2"/>
        <v>0</v>
      </c>
      <c r="N25" s="180">
        <f t="shared" ca="1" si="2"/>
        <v>0</v>
      </c>
      <c r="O25" s="180">
        <f t="shared" ca="1" si="2"/>
        <v>0</v>
      </c>
      <c r="P25" s="180">
        <f t="shared" ca="1" si="2"/>
        <v>0</v>
      </c>
      <c r="Q25" s="180">
        <f t="shared" ca="1" si="2"/>
        <v>0</v>
      </c>
      <c r="R25" s="180">
        <f t="shared" ca="1" si="2"/>
        <v>0</v>
      </c>
      <c r="S25" s="180">
        <f t="shared" ca="1" si="2"/>
        <v>0</v>
      </c>
      <c r="T25" s="180">
        <f t="shared" ca="1" si="2"/>
        <v>0</v>
      </c>
      <c r="U25" s="180">
        <f t="shared" ca="1" si="2"/>
        <v>0</v>
      </c>
      <c r="V25" s="180">
        <f t="shared" ca="1" si="2"/>
        <v>0</v>
      </c>
      <c r="W25" s="180">
        <f t="shared" ca="1" si="2"/>
        <v>0</v>
      </c>
      <c r="X25" s="180">
        <f t="shared" ca="1" si="2"/>
        <v>0</v>
      </c>
      <c r="Y25" s="180">
        <f t="shared" ca="1" si="2"/>
        <v>0</v>
      </c>
      <c r="Z25" s="180">
        <f t="shared" ca="1" si="2"/>
        <v>0</v>
      </c>
      <c r="AA25" s="180">
        <f t="shared" ca="1" si="2"/>
        <v>0</v>
      </c>
      <c r="AB25" s="180">
        <f t="shared" ca="1" si="2"/>
        <v>0</v>
      </c>
      <c r="AC25" s="180">
        <f t="shared" ca="1" si="2"/>
        <v>0</v>
      </c>
      <c r="AD25" s="180">
        <f t="shared" ca="1" si="2"/>
        <v>0</v>
      </c>
      <c r="AE25" s="180">
        <f t="shared" ca="1" si="2"/>
        <v>0</v>
      </c>
      <c r="AF25" s="180">
        <f t="shared" ca="1" si="2"/>
        <v>0</v>
      </c>
      <c r="AG25" s="180">
        <f t="shared" ca="1" si="2"/>
        <v>0</v>
      </c>
      <c r="AH25" s="180">
        <f t="shared" ca="1" si="2"/>
        <v>0</v>
      </c>
      <c r="AI25" s="180">
        <f t="shared" ca="1" si="2"/>
        <v>0</v>
      </c>
      <c r="AJ25" s="180">
        <f t="shared" ca="1" si="2"/>
        <v>0</v>
      </c>
      <c r="AK25" s="180">
        <f t="shared" ca="1" si="2"/>
        <v>0</v>
      </c>
      <c r="AL25" s="180">
        <f t="shared" ca="1" si="2"/>
        <v>0</v>
      </c>
      <c r="AM25" s="180">
        <f t="shared" ca="1" si="2"/>
        <v>0</v>
      </c>
    </row>
    <row r="26" spans="1:39" ht="23.45">
      <c r="A26" s="16"/>
      <c r="B26" s="167"/>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row>
    <row r="27" spans="1:39" ht="22.35" customHeight="1">
      <c r="A27" s="16"/>
      <c r="B27" s="174" t="s">
        <v>360</v>
      </c>
      <c r="C27" s="175"/>
      <c r="D27" s="175"/>
      <c r="E27" s="175"/>
      <c r="F27" s="175"/>
      <c r="G27" s="175"/>
      <c r="H27" s="175"/>
      <c r="I27" s="175"/>
      <c r="J27" s="175"/>
      <c r="K27" s="175"/>
      <c r="L27" s="175"/>
      <c r="M27" s="175"/>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row>
    <row r="28" spans="1:39" s="178" customFormat="1" ht="17.100000000000001" customHeight="1">
      <c r="A28" s="16"/>
      <c r="B28" s="182" t="s">
        <v>361</v>
      </c>
      <c r="C28" s="180">
        <f>0</f>
        <v>0</v>
      </c>
      <c r="D28" s="180">
        <f>0</f>
        <v>0</v>
      </c>
      <c r="E28" s="180">
        <f ca="1">IF(OR(E$6&lt;1,E$6&gt;'User Inputs'!$F$19,'User Inputs'!$F$8="Storage"),0,'User Inputs'!$B$19*1000*'User Inputs'!$F$84*(1+'User Inputs'!$F$86)^(E$6-1))</f>
        <v>0</v>
      </c>
      <c r="F28" s="180">
        <f ca="1">IF(OR(F$6&lt;1,F$6&gt;'User Inputs'!$F$19,'User Inputs'!$F$8="Storage"),0,'User Inputs'!$B$19*1000*'User Inputs'!$F$84*(1+'User Inputs'!$F$86)^(F$6-1))</f>
        <v>0</v>
      </c>
      <c r="G28" s="180">
        <f ca="1">IF(OR(G$6&lt;1,G$6&gt;'User Inputs'!$F$19,'User Inputs'!$F$8="Storage"),0,'User Inputs'!$B$19*1000*'User Inputs'!$F$84*(1+'User Inputs'!$F$86)^(G$6-1))</f>
        <v>0</v>
      </c>
      <c r="H28" s="180">
        <f ca="1">IF(OR(H$6&lt;1,H$6&gt;'User Inputs'!$F$19,'User Inputs'!$F$8="Storage"),0,'User Inputs'!$B$19*1000*'User Inputs'!$F$84*(1+'User Inputs'!$F$86)^(H$6-1))</f>
        <v>0</v>
      </c>
      <c r="I28" s="180">
        <f ca="1">IF(OR(I$6&lt;1,I$6&gt;'User Inputs'!$F$19,'User Inputs'!$F$8="Storage"),0,'User Inputs'!$B$19*1000*'User Inputs'!$F$84*(1+'User Inputs'!$F$86)^(I$6-1))</f>
        <v>0</v>
      </c>
      <c r="J28" s="180">
        <f ca="1">IF(OR(J$6&lt;1,J$6&gt;'User Inputs'!$F$19,'User Inputs'!$F$8="Storage"),0,'User Inputs'!$B$19*1000*'User Inputs'!$F$84*(1+'User Inputs'!$F$86)^(J$6-1))</f>
        <v>0</v>
      </c>
      <c r="K28" s="180">
        <f ca="1">IF(OR(K$6&lt;1,K$6&gt;'User Inputs'!$F$19,'User Inputs'!$F$8="Storage"),0,'User Inputs'!$B$19*1000*'User Inputs'!$F$84*(1+'User Inputs'!$F$86)^(K$6-1))</f>
        <v>0</v>
      </c>
      <c r="L28" s="180">
        <f ca="1">IF(OR(L$6&lt;1,L$6&gt;'User Inputs'!$F$19,'User Inputs'!$F$8="Storage"),0,'User Inputs'!$B$19*1000*'User Inputs'!$F$84*(1+'User Inputs'!$F$86)^(L$6-1))</f>
        <v>0</v>
      </c>
      <c r="M28" s="180">
        <f ca="1">IF(OR(M$6&lt;1,M$6&gt;'User Inputs'!$F$19,'User Inputs'!$F$8="Storage"),0,'User Inputs'!$B$19*1000*'User Inputs'!$F$84*(1+'User Inputs'!$F$86)^(M$6-1))</f>
        <v>0</v>
      </c>
      <c r="N28" s="180">
        <f ca="1">IF(OR(N$6&lt;1,N$6&gt;'User Inputs'!$F$19,'User Inputs'!$F$8="Storage"),0,'User Inputs'!$B$19*1000*'User Inputs'!$F$84*(1+'User Inputs'!$F$86)^(N$6-1))</f>
        <v>0</v>
      </c>
      <c r="O28" s="180">
        <f ca="1">IF(OR(O$6&lt;1,O$6&gt;'User Inputs'!$F$19,'User Inputs'!$F$8="Storage"),0,'User Inputs'!$B$19*1000*'User Inputs'!$F$84*(1+'User Inputs'!$F$86)^(O$6-1))</f>
        <v>0</v>
      </c>
      <c r="P28" s="180">
        <f ca="1">IF(OR(P$6&lt;1,P$6&gt;'User Inputs'!$F$19,'User Inputs'!$F$8="Storage"),0,'User Inputs'!$B$19*1000*'User Inputs'!$F$84*(1+'User Inputs'!$F$86)^(P$6-1))</f>
        <v>0</v>
      </c>
      <c r="Q28" s="180">
        <f ca="1">IF(OR(Q$6&lt;1,Q$6&gt;'User Inputs'!$F$19,'User Inputs'!$F$8="Storage"),0,'User Inputs'!$B$19*1000*'User Inputs'!$F$84*(1+'User Inputs'!$F$86)^(Q$6-1))</f>
        <v>0</v>
      </c>
      <c r="R28" s="180">
        <f ca="1">IF(OR(R$6&lt;1,R$6&gt;'User Inputs'!$F$19,'User Inputs'!$F$8="Storage"),0,'User Inputs'!$B$19*1000*'User Inputs'!$F$84*(1+'User Inputs'!$F$86)^(R$6-1))</f>
        <v>0</v>
      </c>
      <c r="S28" s="180">
        <f ca="1">IF(OR(S$6&lt;1,S$6&gt;'User Inputs'!$F$19,'User Inputs'!$F$8="Storage"),0,'User Inputs'!$B$19*1000*'User Inputs'!$F$84*(1+'User Inputs'!$F$86)^(S$6-1))</f>
        <v>0</v>
      </c>
      <c r="T28" s="180">
        <f ca="1">IF(OR(T$6&lt;1,T$6&gt;'User Inputs'!$F$19,'User Inputs'!$F$8="Storage"),0,'User Inputs'!$B$19*1000*'User Inputs'!$F$84*(1+'User Inputs'!$F$86)^(T$6-1))</f>
        <v>0</v>
      </c>
      <c r="U28" s="180">
        <f ca="1">IF(OR(U$6&lt;1,U$6&gt;'User Inputs'!$F$19,'User Inputs'!$F$8="Storage"),0,'User Inputs'!$B$19*1000*'User Inputs'!$F$84*(1+'User Inputs'!$F$86)^(U$6-1))</f>
        <v>0</v>
      </c>
      <c r="V28" s="180">
        <f ca="1">IF(OR(V$6&lt;1,V$6&gt;'User Inputs'!$F$19,'User Inputs'!$F$8="Storage"),0,'User Inputs'!$B$19*1000*'User Inputs'!$F$84*(1+'User Inputs'!$F$86)^(V$6-1))</f>
        <v>0</v>
      </c>
      <c r="W28" s="180">
        <f ca="1">IF(OR(W$6&lt;1,W$6&gt;'User Inputs'!$F$19,'User Inputs'!$F$8="Storage"),0,'User Inputs'!$B$19*1000*'User Inputs'!$F$84*(1+'User Inputs'!$F$86)^(W$6-1))</f>
        <v>0</v>
      </c>
      <c r="X28" s="180">
        <f ca="1">IF(OR(X$6&lt;1,X$6&gt;'User Inputs'!$F$19,'User Inputs'!$F$8="Storage"),0,'User Inputs'!$B$19*1000*'User Inputs'!$F$84*(1+'User Inputs'!$F$86)^(X$6-1))</f>
        <v>0</v>
      </c>
      <c r="Y28" s="180">
        <f ca="1">IF(OR(Y$6&lt;1,Y$6&gt;'User Inputs'!$F$19,'User Inputs'!$F$8="Storage"),0,'User Inputs'!$B$19*1000*'User Inputs'!$F$84*(1+'User Inputs'!$F$86)^(Y$6-1))</f>
        <v>0</v>
      </c>
      <c r="Z28" s="180">
        <f ca="1">IF(OR(Z$6&lt;1,Z$6&gt;'User Inputs'!$F$19,'User Inputs'!$F$8="Storage"),0,'User Inputs'!$B$19*1000*'User Inputs'!$F$84*(1+'User Inputs'!$F$86)^(Z$6-1))</f>
        <v>0</v>
      </c>
      <c r="AA28" s="180">
        <f ca="1">IF(OR(AA$6&lt;1,AA$6&gt;'User Inputs'!$F$19,'User Inputs'!$F$8="Storage"),0,'User Inputs'!$B$19*1000*'User Inputs'!$F$84*(1+'User Inputs'!$F$86)^(AA$6-1))</f>
        <v>0</v>
      </c>
      <c r="AB28" s="180">
        <f ca="1">IF(OR(AB$6&lt;1,AB$6&gt;'User Inputs'!$F$19,'User Inputs'!$F$8="Storage"),0,'User Inputs'!$B$19*1000*'User Inputs'!$F$84*(1+'User Inputs'!$F$86)^(AB$6-1))</f>
        <v>0</v>
      </c>
      <c r="AC28" s="180">
        <f ca="1">IF(OR(AC$6&lt;1,AC$6&gt;'User Inputs'!$F$19,'User Inputs'!$F$8="Storage"),0,'User Inputs'!$B$19*1000*'User Inputs'!$F$84*(1+'User Inputs'!$F$86)^(AC$6-1))</f>
        <v>0</v>
      </c>
      <c r="AD28" s="180">
        <f ca="1">IF(OR(AD$6&lt;1,AD$6&gt;'User Inputs'!$F$19,'User Inputs'!$F$8="Storage"),0,'User Inputs'!$B$19*1000*'User Inputs'!$F$84*(1+'User Inputs'!$F$86)^(AD$6-1))</f>
        <v>0</v>
      </c>
      <c r="AE28" s="180">
        <f ca="1">IF(OR(AE$6&lt;1,AE$6&gt;'User Inputs'!$F$19,'User Inputs'!$F$8="Storage"),0,'User Inputs'!$B$19*1000*'User Inputs'!$F$84*(1+'User Inputs'!$F$86)^(AE$6-1))</f>
        <v>0</v>
      </c>
      <c r="AF28" s="180">
        <f ca="1">IF(OR(AF$6&lt;1,AF$6&gt;'User Inputs'!$F$19,'User Inputs'!$F$8="Storage"),0,'User Inputs'!$B$19*1000*'User Inputs'!$F$84*(1+'User Inputs'!$F$86)^(AF$6-1))</f>
        <v>0</v>
      </c>
      <c r="AG28" s="180">
        <f ca="1">IF(OR(AG$6&lt;1,AG$6&gt;'User Inputs'!$F$19,'User Inputs'!$F$8="Storage"),0,'User Inputs'!$B$19*1000*'User Inputs'!$F$84*(1+'User Inputs'!$F$86)^(AG$6-1))</f>
        <v>0</v>
      </c>
      <c r="AH28" s="180">
        <f ca="1">IF(OR(AH$6&lt;1,AH$6&gt;'User Inputs'!$F$19,'User Inputs'!$F$8="Storage"),0,'User Inputs'!$B$19*1000*'User Inputs'!$F$84*(1+'User Inputs'!$F$86)^(AH$6-1))</f>
        <v>0</v>
      </c>
      <c r="AI28" s="180">
        <f ca="1">IF(OR(AI$6&lt;1,AI$6&gt;'User Inputs'!$F$19,'User Inputs'!$F$8="Storage"),0,'User Inputs'!$B$19*1000*'User Inputs'!$F$84*(1+'User Inputs'!$F$86)^(AI$6-1))</f>
        <v>0</v>
      </c>
      <c r="AJ28" s="180">
        <f ca="1">IF(OR(AJ$6&lt;1,AJ$6&gt;'User Inputs'!$F$19,'User Inputs'!$F$8="Storage"),0,'User Inputs'!$B$19*1000*'User Inputs'!$F$84*(1+'User Inputs'!$F$86)^(AJ$6-1))</f>
        <v>0</v>
      </c>
      <c r="AK28" s="180">
        <f ca="1">IF(OR(AK$6&lt;1,AK$6&gt;'User Inputs'!$F$19,'User Inputs'!$F$8="Storage"),0,'User Inputs'!$B$19*1000*'User Inputs'!$F$84*(1+'User Inputs'!$F$86)^(AK$6-1))</f>
        <v>0</v>
      </c>
      <c r="AL28" s="180">
        <f ca="1">IF(OR(AL$6&lt;1,AL$6&gt;'User Inputs'!$F$19,'User Inputs'!$F$8="Storage"),0,'User Inputs'!$B$19*1000*'User Inputs'!$F$84*(1+'User Inputs'!$F$86)^(AL$6-1))</f>
        <v>0</v>
      </c>
      <c r="AM28" s="180">
        <f ca="1">IF(OR(AM$6&lt;1,AM$6&gt;'User Inputs'!$F$19,'User Inputs'!$F$8="Storage"),0,'User Inputs'!$B$19*1000*'User Inputs'!$F$84*(1+'User Inputs'!$F$86)^(AM$6-1))</f>
        <v>0</v>
      </c>
    </row>
    <row r="29" spans="1:39" s="178" customFormat="1" ht="17.100000000000001" customHeight="1">
      <c r="A29" s="16"/>
      <c r="B29" s="182" t="s">
        <v>362</v>
      </c>
      <c r="C29" s="180">
        <f>0</f>
        <v>0</v>
      </c>
      <c r="D29" s="180">
        <f>0</f>
        <v>0</v>
      </c>
      <c r="E29" s="180">
        <f ca="1">IF(OR(E$6&lt;1,E$6&gt;'User Inputs'!$F$19),0,E9*'User Inputs'!$H$84)</f>
        <v>0</v>
      </c>
      <c r="F29" s="180">
        <f ca="1">IF(OR(F$6&lt;1,F$6&gt;'User Inputs'!$F$19),0,F9*'User Inputs'!$H$84)</f>
        <v>0</v>
      </c>
      <c r="G29" s="180">
        <f ca="1">IF(OR(G$6&lt;1,G$6&gt;'User Inputs'!$F$19),0,G9*'User Inputs'!$H$84)</f>
        <v>0</v>
      </c>
      <c r="H29" s="180">
        <f ca="1">IF(OR(H$6&lt;1,H$6&gt;'User Inputs'!$F$19),0,H9*'User Inputs'!$H$84)</f>
        <v>0</v>
      </c>
      <c r="I29" s="180">
        <f ca="1">IF(OR(I$6&lt;1,I$6&gt;'User Inputs'!$F$19),0,I9*'User Inputs'!$H$84)</f>
        <v>0</v>
      </c>
      <c r="J29" s="180">
        <f ca="1">IF(OR(J$6&lt;1,J$6&gt;'User Inputs'!$F$19),0,J9*'User Inputs'!$H$84)</f>
        <v>0</v>
      </c>
      <c r="K29" s="180">
        <f ca="1">IF(OR(K$6&lt;1,K$6&gt;'User Inputs'!$F$19),0,K9*'User Inputs'!$H$84)</f>
        <v>0</v>
      </c>
      <c r="L29" s="180">
        <f ca="1">IF(OR(L$6&lt;1,L$6&gt;'User Inputs'!$F$19),0,L9*'User Inputs'!$H$84)</f>
        <v>0</v>
      </c>
      <c r="M29" s="180">
        <f ca="1">IF(OR(M$6&lt;1,M$6&gt;'User Inputs'!$F$19),0,M9*'User Inputs'!$H$84)</f>
        <v>0</v>
      </c>
      <c r="N29" s="180">
        <f ca="1">IF(OR(N$6&lt;1,N$6&gt;'User Inputs'!$F$19),0,N9*'User Inputs'!$H$84)</f>
        <v>0</v>
      </c>
      <c r="O29" s="180">
        <f ca="1">IF(OR(O$6&lt;1,O$6&gt;'User Inputs'!$F$19),0,O9*'User Inputs'!$H$84)</f>
        <v>0</v>
      </c>
      <c r="P29" s="180">
        <f ca="1">IF(OR(P$6&lt;1,P$6&gt;'User Inputs'!$F$19),0,P9*'User Inputs'!$H$84)</f>
        <v>0</v>
      </c>
      <c r="Q29" s="180">
        <f ca="1">IF(OR(Q$6&lt;1,Q$6&gt;'User Inputs'!$F$19),0,Q9*'User Inputs'!$H$84)</f>
        <v>0</v>
      </c>
      <c r="R29" s="180">
        <f ca="1">IF(OR(R$6&lt;1,R$6&gt;'User Inputs'!$F$19),0,R9*'User Inputs'!$H$84)</f>
        <v>0</v>
      </c>
      <c r="S29" s="180">
        <f ca="1">IF(OR(S$6&lt;1,S$6&gt;'User Inputs'!$F$19),0,S9*'User Inputs'!$H$84)</f>
        <v>0</v>
      </c>
      <c r="T29" s="180">
        <f ca="1">IF(OR(T$6&lt;1,T$6&gt;'User Inputs'!$F$19),0,T9*'User Inputs'!$H$84)</f>
        <v>0</v>
      </c>
      <c r="U29" s="180">
        <f ca="1">IF(OR(U$6&lt;1,U$6&gt;'User Inputs'!$F$19),0,U9*'User Inputs'!$H$84)</f>
        <v>0</v>
      </c>
      <c r="V29" s="180">
        <f ca="1">IF(OR(V$6&lt;1,V$6&gt;'User Inputs'!$F$19),0,V9*'User Inputs'!$H$84)</f>
        <v>0</v>
      </c>
      <c r="W29" s="180">
        <f ca="1">IF(OR(W$6&lt;1,W$6&gt;'User Inputs'!$F$19),0,W9*'User Inputs'!$H$84)</f>
        <v>0</v>
      </c>
      <c r="X29" s="180">
        <f ca="1">IF(OR(X$6&lt;1,X$6&gt;'User Inputs'!$F$19),0,X9*'User Inputs'!$H$84)</f>
        <v>0</v>
      </c>
      <c r="Y29" s="180">
        <f ca="1">IF(OR(Y$6&lt;1,Y$6&gt;'User Inputs'!$F$19),0,Y9*'User Inputs'!$H$84)</f>
        <v>0</v>
      </c>
      <c r="Z29" s="180">
        <f ca="1">IF(OR(Z$6&lt;1,Z$6&gt;'User Inputs'!$F$19),0,Z9*'User Inputs'!$H$84)</f>
        <v>0</v>
      </c>
      <c r="AA29" s="180">
        <f ca="1">IF(OR(AA$6&lt;1,AA$6&gt;'User Inputs'!$F$19),0,AA9*'User Inputs'!$H$84)</f>
        <v>0</v>
      </c>
      <c r="AB29" s="180">
        <f ca="1">IF(OR(AB$6&lt;1,AB$6&gt;'User Inputs'!$F$19),0,AB9*'User Inputs'!$H$84)</f>
        <v>0</v>
      </c>
      <c r="AC29" s="180">
        <f ca="1">IF(OR(AC$6&lt;1,AC$6&gt;'User Inputs'!$F$19),0,AC9*'User Inputs'!$H$84)</f>
        <v>0</v>
      </c>
      <c r="AD29" s="180">
        <f ca="1">IF(OR(AD$6&lt;1,AD$6&gt;'User Inputs'!$F$19),0,AD9*'User Inputs'!$H$84)</f>
        <v>0</v>
      </c>
      <c r="AE29" s="180">
        <f ca="1">IF(OR(AE$6&lt;1,AE$6&gt;'User Inputs'!$F$19),0,AE9*'User Inputs'!$H$84)</f>
        <v>0</v>
      </c>
      <c r="AF29" s="180">
        <f ca="1">IF(OR(AF$6&lt;1,AF$6&gt;'User Inputs'!$F$19),0,AF9*'User Inputs'!$H$84)</f>
        <v>0</v>
      </c>
      <c r="AG29" s="180">
        <f ca="1">IF(OR(AG$6&lt;1,AG$6&gt;'User Inputs'!$F$19),0,AG9*'User Inputs'!$H$84)</f>
        <v>0</v>
      </c>
      <c r="AH29" s="180">
        <f ca="1">IF(OR(AH$6&lt;1,AH$6&gt;'User Inputs'!$F$19),0,AH9*'User Inputs'!$H$84)</f>
        <v>0</v>
      </c>
      <c r="AI29" s="180">
        <f ca="1">IF(OR(AI$6&lt;1,AI$6&gt;'User Inputs'!$F$19),0,AI9*'User Inputs'!$H$84)</f>
        <v>0</v>
      </c>
      <c r="AJ29" s="180">
        <f ca="1">IF(OR(AJ$6&lt;1,AJ$6&gt;'User Inputs'!$F$19),0,AJ9*'User Inputs'!$H$84)</f>
        <v>0</v>
      </c>
      <c r="AK29" s="180">
        <f ca="1">IF(OR(AK$6&lt;1,AK$6&gt;'User Inputs'!$F$19),0,AK9*'User Inputs'!$H$84)</f>
        <v>0</v>
      </c>
      <c r="AL29" s="180">
        <f ca="1">IF(OR(AL$6&lt;1,AL$6&gt;'User Inputs'!$F$19),0,AL9*'User Inputs'!$H$84)</f>
        <v>0</v>
      </c>
      <c r="AM29" s="180">
        <f ca="1">IF(OR(AM$6&lt;1,AM$6&gt;'User Inputs'!$F$19),0,AM9*'User Inputs'!$H$84)</f>
        <v>0</v>
      </c>
    </row>
    <row r="30" spans="1:39" s="178" customFormat="1" ht="17.100000000000001" customHeight="1">
      <c r="A30" s="16"/>
      <c r="B30" s="182" t="s">
        <v>363</v>
      </c>
      <c r="C30" s="180">
        <f>0</f>
        <v>0</v>
      </c>
      <c r="D30" s="180">
        <f>0</f>
        <v>0</v>
      </c>
      <c r="E30" s="180" t="str">
        <f>IF(OR(E$6&lt;1,'User Inputs'!$F$8="Tier 1 RE"),0,
IF(OR(NOT(ISNUMBER('User Inputs'!$D$74)),NOT(ISNUMBER('User Inputs'!$D$109))),"",
IF(E$6&gt;'User Inputs'!$D$74,0,
'User Inputs'!$D$109*1000*
'User Inputs'!$B$86*
(1+'User Inputs'!$F$86)^(E$6-1))))</f>
        <v/>
      </c>
      <c r="F30" s="180" t="str">
        <f>IF(OR(F$6&lt;1,'User Inputs'!$F$8="Tier 1 RE"),0,
IF(OR(NOT(ISNUMBER('User Inputs'!$D$74)),NOT(ISNUMBER('User Inputs'!$D$109))),"",
IF(F$6&gt;'User Inputs'!$D$74,0,
'User Inputs'!$D$109*1000*
'User Inputs'!$B$86*
(1+'User Inputs'!$F$86)^(F$6-1))))</f>
        <v/>
      </c>
      <c r="G30" s="180" t="str">
        <f>IF(OR(G$6&lt;1,'User Inputs'!$F$8="Tier 1 RE"),0,
IF(OR(NOT(ISNUMBER('User Inputs'!$D$74)),NOT(ISNUMBER('User Inputs'!$D$109))),"",
IF(G$6&gt;'User Inputs'!$D$74,0,
'User Inputs'!$D$109*1000*
'User Inputs'!$B$86*
(1+'User Inputs'!$F$86)^(G$6-1))))</f>
        <v/>
      </c>
      <c r="H30" s="180" t="str">
        <f>IF(OR(H$6&lt;1,'User Inputs'!$F$8="Tier 1 RE"),0,
IF(OR(NOT(ISNUMBER('User Inputs'!$D$74)),NOT(ISNUMBER('User Inputs'!$D$109))),"",
IF(H$6&gt;'User Inputs'!$D$74,0,
'User Inputs'!$D$109*1000*
'User Inputs'!$B$86*
(1+'User Inputs'!$F$86)^(H$6-1))))</f>
        <v/>
      </c>
      <c r="I30" s="180" t="str">
        <f>IF(OR(I$6&lt;1,'User Inputs'!$F$8="Tier 1 RE"),0,
IF(OR(NOT(ISNUMBER('User Inputs'!$D$74)),NOT(ISNUMBER('User Inputs'!$D$109))),"",
IF(I$6&gt;'User Inputs'!$D$74,0,
'User Inputs'!$D$109*1000*
'User Inputs'!$B$86*
(1+'User Inputs'!$F$86)^(I$6-1))))</f>
        <v/>
      </c>
      <c r="J30" s="180" t="str">
        <f>IF(OR(J$6&lt;1,'User Inputs'!$F$8="Tier 1 RE"),0,
IF(OR(NOT(ISNUMBER('User Inputs'!$D$74)),NOT(ISNUMBER('User Inputs'!$D$109))),"",
IF(J$6&gt;'User Inputs'!$D$74,0,
'User Inputs'!$D$109*1000*
'User Inputs'!$B$86*
(1+'User Inputs'!$F$86)^(J$6-1))))</f>
        <v/>
      </c>
      <c r="K30" s="180" t="str">
        <f>IF(OR(K$6&lt;1,'User Inputs'!$F$8="Tier 1 RE"),0,
IF(OR(NOT(ISNUMBER('User Inputs'!$D$74)),NOT(ISNUMBER('User Inputs'!$D$109))),"",
IF(K$6&gt;'User Inputs'!$D$74,0,
'User Inputs'!$D$109*1000*
'User Inputs'!$B$86*
(1+'User Inputs'!$F$86)^(K$6-1))))</f>
        <v/>
      </c>
      <c r="L30" s="180" t="str">
        <f>IF(OR(L$6&lt;1,'User Inputs'!$F$8="Tier 1 RE"),0,
IF(OR(NOT(ISNUMBER('User Inputs'!$D$74)),NOT(ISNUMBER('User Inputs'!$D$109))),"",
IF(L$6&gt;'User Inputs'!$D$74,0,
'User Inputs'!$D$109*1000*
'User Inputs'!$B$86*
(1+'User Inputs'!$F$86)^(L$6-1))))</f>
        <v/>
      </c>
      <c r="M30" s="180" t="str">
        <f>IF(OR(M$6&lt;1,'User Inputs'!$F$8="Tier 1 RE"),0,
IF(OR(NOT(ISNUMBER('User Inputs'!$D$74)),NOT(ISNUMBER('User Inputs'!$D$109))),"",
IF(M$6&gt;'User Inputs'!$D$74,0,
'User Inputs'!$D$109*1000*
'User Inputs'!$B$86*
(1+'User Inputs'!$F$86)^(M$6-1))))</f>
        <v/>
      </c>
      <c r="N30" s="180" t="str">
        <f>IF(OR(N$6&lt;1,'User Inputs'!$F$8="Tier 1 RE"),0,
IF(OR(NOT(ISNUMBER('User Inputs'!$D$74)),NOT(ISNUMBER('User Inputs'!$D$109))),"",
IF(N$6&gt;'User Inputs'!$D$74,0,
'User Inputs'!$D$109*1000*
'User Inputs'!$B$86*
(1+'User Inputs'!$F$86)^(N$6-1))))</f>
        <v/>
      </c>
      <c r="O30" s="180" t="str">
        <f>IF(OR(O$6&lt;1,'User Inputs'!$F$8="Tier 1 RE"),0,
IF(OR(NOT(ISNUMBER('User Inputs'!$D$74)),NOT(ISNUMBER('User Inputs'!$D$109))),"",
IF(O$6&gt;'User Inputs'!$D$74,0,
'User Inputs'!$D$109*1000*
'User Inputs'!$B$86*
(1+'User Inputs'!$F$86)^(O$6-1))))</f>
        <v/>
      </c>
      <c r="P30" s="180" t="str">
        <f>IF(OR(P$6&lt;1,'User Inputs'!$F$8="Tier 1 RE"),0,
IF(OR(NOT(ISNUMBER('User Inputs'!$D$74)),NOT(ISNUMBER('User Inputs'!$D$109))),"",
IF(P$6&gt;'User Inputs'!$D$74,0,
'User Inputs'!$D$109*1000*
'User Inputs'!$B$86*
(1+'User Inputs'!$F$86)^(P$6-1))))</f>
        <v/>
      </c>
      <c r="Q30" s="180" t="str">
        <f>IF(OR(Q$6&lt;1,'User Inputs'!$F$8="Tier 1 RE"),0,
IF(OR(NOT(ISNUMBER('User Inputs'!$D$74)),NOT(ISNUMBER('User Inputs'!$D$109))),"",
IF(Q$6&gt;'User Inputs'!$D$74,0,
'User Inputs'!$D$109*1000*
'User Inputs'!$B$86*
(1+'User Inputs'!$F$86)^(Q$6-1))))</f>
        <v/>
      </c>
      <c r="R30" s="180" t="str">
        <f>IF(OR(R$6&lt;1,'User Inputs'!$F$8="Tier 1 RE"),0,
IF(OR(NOT(ISNUMBER('User Inputs'!$D$74)),NOT(ISNUMBER('User Inputs'!$D$109))),"",
IF(R$6&gt;'User Inputs'!$D$74,0,
'User Inputs'!$D$109*1000*
'User Inputs'!$B$86*
(1+'User Inputs'!$F$86)^(R$6-1))))</f>
        <v/>
      </c>
      <c r="S30" s="180" t="str">
        <f>IF(OR(S$6&lt;1,'User Inputs'!$F$8="Tier 1 RE"),0,
IF(OR(NOT(ISNUMBER('User Inputs'!$D$74)),NOT(ISNUMBER('User Inputs'!$D$109))),"",
IF(S$6&gt;'User Inputs'!$D$74,0,
'User Inputs'!$D$109*1000*
'User Inputs'!$B$86*
(1+'User Inputs'!$F$86)^(S$6-1))))</f>
        <v/>
      </c>
      <c r="T30" s="180" t="str">
        <f>IF(OR(T$6&lt;1,'User Inputs'!$F$8="Tier 1 RE"),0,
IF(OR(NOT(ISNUMBER('User Inputs'!$D$74)),NOT(ISNUMBER('User Inputs'!$D$109))),"",
IF(T$6&gt;'User Inputs'!$D$74,0,
'User Inputs'!$D$109*1000*
'User Inputs'!$B$86*
(1+'User Inputs'!$F$86)^(T$6-1))))</f>
        <v/>
      </c>
      <c r="U30" s="180" t="str">
        <f>IF(OR(U$6&lt;1,'User Inputs'!$F$8="Tier 1 RE"),0,
IF(OR(NOT(ISNUMBER('User Inputs'!$D$74)),NOT(ISNUMBER('User Inputs'!$D$109))),"",
IF(U$6&gt;'User Inputs'!$D$74,0,
'User Inputs'!$D$109*1000*
'User Inputs'!$B$86*
(1+'User Inputs'!$F$86)^(U$6-1))))</f>
        <v/>
      </c>
      <c r="V30" s="180" t="str">
        <f>IF(OR(V$6&lt;1,'User Inputs'!$F$8="Tier 1 RE"),0,
IF(OR(NOT(ISNUMBER('User Inputs'!$D$74)),NOT(ISNUMBER('User Inputs'!$D$109))),"",
IF(V$6&gt;'User Inputs'!$D$74,0,
'User Inputs'!$D$109*1000*
'User Inputs'!$B$86*
(1+'User Inputs'!$F$86)^(V$6-1))))</f>
        <v/>
      </c>
      <c r="W30" s="180" t="str">
        <f>IF(OR(W$6&lt;1,'User Inputs'!$F$8="Tier 1 RE"),0,
IF(OR(NOT(ISNUMBER('User Inputs'!$D$74)),NOT(ISNUMBER('User Inputs'!$D$109))),"",
IF(W$6&gt;'User Inputs'!$D$74,0,
'User Inputs'!$D$109*1000*
'User Inputs'!$B$86*
(1+'User Inputs'!$F$86)^(W$6-1))))</f>
        <v/>
      </c>
      <c r="X30" s="180" t="str">
        <f>IF(OR(X$6&lt;1,'User Inputs'!$F$8="Tier 1 RE"),0,
IF(OR(NOT(ISNUMBER('User Inputs'!$D$74)),NOT(ISNUMBER('User Inputs'!$D$109))),"",
IF(X$6&gt;'User Inputs'!$D$74,0,
'User Inputs'!$D$109*1000*
'User Inputs'!$B$86*
(1+'User Inputs'!$F$86)^(X$6-1))))</f>
        <v/>
      </c>
      <c r="Y30" s="180" t="str">
        <f>IF(OR(Y$6&lt;1,'User Inputs'!$F$8="Tier 1 RE"),0,
IF(OR(NOT(ISNUMBER('User Inputs'!$D$74)),NOT(ISNUMBER('User Inputs'!$D$109))),"",
IF(Y$6&gt;'User Inputs'!$D$74,0,
'User Inputs'!$D$109*1000*
'User Inputs'!$B$86*
(1+'User Inputs'!$F$86)^(Y$6-1))))</f>
        <v/>
      </c>
      <c r="Z30" s="180" t="str">
        <f>IF(OR(Z$6&lt;1,'User Inputs'!$F$8="Tier 1 RE"),0,
IF(OR(NOT(ISNUMBER('User Inputs'!$D$74)),NOT(ISNUMBER('User Inputs'!$D$109))),"",
IF(Z$6&gt;'User Inputs'!$D$74,0,
'User Inputs'!$D$109*1000*
'User Inputs'!$B$86*
(1+'User Inputs'!$F$86)^(Z$6-1))))</f>
        <v/>
      </c>
      <c r="AA30" s="180" t="str">
        <f>IF(OR(AA$6&lt;1,'User Inputs'!$F$8="Tier 1 RE"),0,
IF(OR(NOT(ISNUMBER('User Inputs'!$D$74)),NOT(ISNUMBER('User Inputs'!$D$109))),"",
IF(AA$6&gt;'User Inputs'!$D$74,0,
'User Inputs'!$D$109*1000*
'User Inputs'!$B$86*
(1+'User Inputs'!$F$86)^(AA$6-1))))</f>
        <v/>
      </c>
      <c r="AB30" s="180" t="str">
        <f>IF(OR(AB$6&lt;1,'User Inputs'!$F$8="Tier 1 RE"),0,
IF(OR(NOT(ISNUMBER('User Inputs'!$D$74)),NOT(ISNUMBER('User Inputs'!$D$109))),"",
IF(AB$6&gt;'User Inputs'!$D$74,0,
'User Inputs'!$D$109*1000*
'User Inputs'!$B$86*
(1+'User Inputs'!$F$86)^(AB$6-1))))</f>
        <v/>
      </c>
      <c r="AC30" s="180" t="str">
        <f>IF(OR(AC$6&lt;1,'User Inputs'!$F$8="Tier 1 RE"),0,
IF(OR(NOT(ISNUMBER('User Inputs'!$D$74)),NOT(ISNUMBER('User Inputs'!$D$109))),"",
IF(AC$6&gt;'User Inputs'!$D$74,0,
'User Inputs'!$D$109*1000*
'User Inputs'!$B$86*
(1+'User Inputs'!$F$86)^(AC$6-1))))</f>
        <v/>
      </c>
      <c r="AD30" s="180" t="str">
        <f>IF(OR(AD$6&lt;1,'User Inputs'!$F$8="Tier 1 RE"),0,
IF(OR(NOT(ISNUMBER('User Inputs'!$D$74)),NOT(ISNUMBER('User Inputs'!$D$109))),"",
IF(AD$6&gt;'User Inputs'!$D$74,0,
'User Inputs'!$D$109*1000*
'User Inputs'!$B$86*
(1+'User Inputs'!$F$86)^(AD$6-1))))</f>
        <v/>
      </c>
      <c r="AE30" s="180" t="str">
        <f>IF(OR(AE$6&lt;1,'User Inputs'!$F$8="Tier 1 RE"),0,
IF(OR(NOT(ISNUMBER('User Inputs'!$D$74)),NOT(ISNUMBER('User Inputs'!$D$109))),"",
IF(AE$6&gt;'User Inputs'!$D$74,0,
'User Inputs'!$D$109*1000*
'User Inputs'!$B$86*
(1+'User Inputs'!$F$86)^(AE$6-1))))</f>
        <v/>
      </c>
      <c r="AF30" s="180" t="str">
        <f>IF(OR(AF$6&lt;1,'User Inputs'!$F$8="Tier 1 RE"),0,
IF(OR(NOT(ISNUMBER('User Inputs'!$D$74)),NOT(ISNUMBER('User Inputs'!$D$109))),"",
IF(AF$6&gt;'User Inputs'!$D$74,0,
'User Inputs'!$D$109*1000*
'User Inputs'!$B$86*
(1+'User Inputs'!$F$86)^(AF$6-1))))</f>
        <v/>
      </c>
      <c r="AG30" s="180" t="str">
        <f>IF(OR(AG$6&lt;1,'User Inputs'!$F$8="Tier 1 RE"),0,
IF(OR(NOT(ISNUMBER('User Inputs'!$D$74)),NOT(ISNUMBER('User Inputs'!$D$109))),"",
IF(AG$6&gt;'User Inputs'!$D$74,0,
'User Inputs'!$D$109*1000*
'User Inputs'!$B$86*
(1+'User Inputs'!$F$86)^(AG$6-1))))</f>
        <v/>
      </c>
      <c r="AH30" s="180" t="str">
        <f>IF(OR(AH$6&lt;1,'User Inputs'!$F$8="Tier 1 RE"),0,
IF(OR(NOT(ISNUMBER('User Inputs'!$D$74)),NOT(ISNUMBER('User Inputs'!$D$109))),"",
IF(AH$6&gt;'User Inputs'!$D$74,0,
'User Inputs'!$D$109*1000*
'User Inputs'!$B$86*
(1+'User Inputs'!$F$86)^(AH$6-1))))</f>
        <v/>
      </c>
      <c r="AI30" s="180" t="str">
        <f>IF(OR(AI$6&lt;1,'User Inputs'!$F$8="Tier 1 RE"),0,
IF(OR(NOT(ISNUMBER('User Inputs'!$D$74)),NOT(ISNUMBER('User Inputs'!$D$109))),"",
IF(AI$6&gt;'User Inputs'!$D$74,0,
'User Inputs'!$D$109*1000*
'User Inputs'!$B$86*
(1+'User Inputs'!$F$86)^(AI$6-1))))</f>
        <v/>
      </c>
      <c r="AJ30" s="180" t="str">
        <f>IF(OR(AJ$6&lt;1,'User Inputs'!$F$8="Tier 1 RE"),0,
IF(OR(NOT(ISNUMBER('User Inputs'!$D$74)),NOT(ISNUMBER('User Inputs'!$D$109))),"",
IF(AJ$6&gt;'User Inputs'!$D$74,0,
'User Inputs'!$D$109*1000*
'User Inputs'!$B$86*
(1+'User Inputs'!$F$86)^(AJ$6-1))))</f>
        <v/>
      </c>
      <c r="AK30" s="180" t="str">
        <f>IF(OR(AK$6&lt;1,'User Inputs'!$F$8="Tier 1 RE"),0,
IF(OR(NOT(ISNUMBER('User Inputs'!$D$74)),NOT(ISNUMBER('User Inputs'!$D$109))),"",
IF(AK$6&gt;'User Inputs'!$D$74,0,
'User Inputs'!$D$109*1000*
'User Inputs'!$B$86*
(1+'User Inputs'!$F$86)^(AK$6-1))))</f>
        <v/>
      </c>
      <c r="AL30" s="180" t="str">
        <f>IF(OR(AL$6&lt;1,'User Inputs'!$F$8="Tier 1 RE"),0,
IF(OR(NOT(ISNUMBER('User Inputs'!$D$74)),NOT(ISNUMBER('User Inputs'!$D$109))),"",
IF(AL$6&gt;'User Inputs'!$D$74,0,
'User Inputs'!$D$109*1000*
'User Inputs'!$B$86*
(1+'User Inputs'!$F$86)^(AL$6-1))))</f>
        <v/>
      </c>
      <c r="AM30" s="180" t="str">
        <f>IF(OR(AM$6&lt;1,'User Inputs'!$F$8="Tier 1 RE"),0,
IF(OR(NOT(ISNUMBER('User Inputs'!$D$74)),NOT(ISNUMBER('User Inputs'!$D$109))),"",
IF(AM$6&gt;'User Inputs'!$D$74,0,
'User Inputs'!$D$109*1000*
'User Inputs'!$B$86*
(1+'User Inputs'!$F$86)^(AM$6-1))))</f>
        <v/>
      </c>
    </row>
    <row r="31" spans="1:39" s="178" customFormat="1" ht="17.100000000000001" customHeight="1">
      <c r="A31" s="16"/>
      <c r="B31" s="182" t="s">
        <v>364</v>
      </c>
      <c r="C31" s="180">
        <f>0</f>
        <v>0</v>
      </c>
      <c r="D31" s="180">
        <f>0</f>
        <v>0</v>
      </c>
      <c r="E31" s="180" t="str">
        <f>IF(OR(E$6&lt;1,'User Inputs'!$F$8="Tier 1 RE"),0,
IF(OR(
NOT(ISNUMBER('User Inputs'!$D$74)),
NOT(ISNUMBER('User Inputs'!$B$74))
),"",
IF(E$6&gt;'User Inputs'!$D$74,0,
IF('User Inputs'!$F$8="Storage",
'User Inputs'!$D$19,
'User Inputs'!$H$29)*
(1-'User Inputs'!$B$74)^(E$6-1)*
'User Inputs'!$D$86*
(1+'User Inputs'!$F$86)^(E$6-1))))</f>
        <v/>
      </c>
      <c r="F31" s="180" t="str">
        <f>IF(OR(F$6&lt;1,'User Inputs'!$F$8="Tier 1 RE"),0,
IF(OR(
NOT(ISNUMBER('User Inputs'!$D$74)),
NOT(ISNUMBER('User Inputs'!$B$74))
),"",
IF(F$6&gt;'User Inputs'!$D$74,0,
IF('User Inputs'!$F$8="Storage",
'User Inputs'!$D$19,
'User Inputs'!$H$29)*
(1-'User Inputs'!$B$74)^(F$6-1)*
'User Inputs'!$D$86*
(1+'User Inputs'!$F$86)^(F$6-1))))</f>
        <v/>
      </c>
      <c r="G31" s="180" t="str">
        <f>IF(OR(G$6&lt;1,'User Inputs'!$F$8="Tier 1 RE"),0,
IF(OR(
NOT(ISNUMBER('User Inputs'!$D$74)),
NOT(ISNUMBER('User Inputs'!$B$74))
),"",
IF(G$6&gt;'User Inputs'!$D$74,0,
IF('User Inputs'!$F$8="Storage",
'User Inputs'!$D$19,
'User Inputs'!$H$29)*
(1-'User Inputs'!$B$74)^(G$6-1)*
'User Inputs'!$D$86*
(1+'User Inputs'!$F$86)^(G$6-1))))</f>
        <v/>
      </c>
      <c r="H31" s="180" t="str">
        <f>IF(OR(H$6&lt;1,'User Inputs'!$F$8="Tier 1 RE"),0,
IF(OR(
NOT(ISNUMBER('User Inputs'!$D$74)),
NOT(ISNUMBER('User Inputs'!$B$74))
),"",
IF(H$6&gt;'User Inputs'!$D$74,0,
IF('User Inputs'!$F$8="Storage",
'User Inputs'!$D$19,
'User Inputs'!$H$29)*
(1-'User Inputs'!$B$74)^(H$6-1)*
'User Inputs'!$D$86*
(1+'User Inputs'!$F$86)^(H$6-1))))</f>
        <v/>
      </c>
      <c r="I31" s="180" t="str">
        <f>IF(OR(I$6&lt;1,'User Inputs'!$F$8="Tier 1 RE"),0,
IF(OR(
NOT(ISNUMBER('User Inputs'!$D$74)),
NOT(ISNUMBER('User Inputs'!$B$74))
),"",
IF(I$6&gt;'User Inputs'!$D$74,0,
IF('User Inputs'!$F$8="Storage",
'User Inputs'!$D$19,
'User Inputs'!$H$29)*
(1-'User Inputs'!$B$74)^(I$6-1)*
'User Inputs'!$D$86*
(1+'User Inputs'!$F$86)^(I$6-1))))</f>
        <v/>
      </c>
      <c r="J31" s="180" t="str">
        <f>IF(OR(J$6&lt;1,'User Inputs'!$F$8="Tier 1 RE"),0,
IF(OR(
NOT(ISNUMBER('User Inputs'!$D$74)),
NOT(ISNUMBER('User Inputs'!$B$74))
),"",
IF(J$6&gt;'User Inputs'!$D$74,0,
IF('User Inputs'!$F$8="Storage",
'User Inputs'!$D$19,
'User Inputs'!$H$29)*
(1-'User Inputs'!$B$74)^(J$6-1)*
'User Inputs'!$D$86*
(1+'User Inputs'!$F$86)^(J$6-1))))</f>
        <v/>
      </c>
      <c r="K31" s="180" t="str">
        <f>IF(OR(K$6&lt;1,'User Inputs'!$F$8="Tier 1 RE"),0,
IF(OR(
NOT(ISNUMBER('User Inputs'!$D$74)),
NOT(ISNUMBER('User Inputs'!$B$74))
),"",
IF(K$6&gt;'User Inputs'!$D$74,0,
IF('User Inputs'!$F$8="Storage",
'User Inputs'!$D$19,
'User Inputs'!$H$29)*
(1-'User Inputs'!$B$74)^(K$6-1)*
'User Inputs'!$D$86*
(1+'User Inputs'!$F$86)^(K$6-1))))</f>
        <v/>
      </c>
      <c r="L31" s="180" t="str">
        <f>IF(OR(L$6&lt;1,'User Inputs'!$F$8="Tier 1 RE"),0,
IF(OR(
NOT(ISNUMBER('User Inputs'!$D$74)),
NOT(ISNUMBER('User Inputs'!$B$74))
),"",
IF(L$6&gt;'User Inputs'!$D$74,0,
IF('User Inputs'!$F$8="Storage",
'User Inputs'!$D$19,
'User Inputs'!$H$29)*
(1-'User Inputs'!$B$74)^(L$6-1)*
'User Inputs'!$D$86*
(1+'User Inputs'!$F$86)^(L$6-1))))</f>
        <v/>
      </c>
      <c r="M31" s="180" t="str">
        <f>IF(OR(M$6&lt;1,'User Inputs'!$F$8="Tier 1 RE"),0,
IF(OR(
NOT(ISNUMBER('User Inputs'!$D$74)),
NOT(ISNUMBER('User Inputs'!$B$74))
),"",
IF(M$6&gt;'User Inputs'!$D$74,0,
IF('User Inputs'!$F$8="Storage",
'User Inputs'!$D$19,
'User Inputs'!$H$29)*
(1-'User Inputs'!$B$74)^(M$6-1)*
'User Inputs'!$D$86*
(1+'User Inputs'!$F$86)^(M$6-1))))</f>
        <v/>
      </c>
      <c r="N31" s="180" t="str">
        <f>IF(OR(N$6&lt;1,'User Inputs'!$F$8="Tier 1 RE"),0,
IF(OR(
NOT(ISNUMBER('User Inputs'!$D$74)),
NOT(ISNUMBER('User Inputs'!$B$74))
),"",
IF(N$6&gt;'User Inputs'!$D$74,0,
IF('User Inputs'!$F$8="Storage",
'User Inputs'!$D$19,
'User Inputs'!$H$29)*
(1-'User Inputs'!$B$74)^(N$6-1)*
'User Inputs'!$D$86*
(1+'User Inputs'!$F$86)^(N$6-1))))</f>
        <v/>
      </c>
      <c r="O31" s="180" t="str">
        <f>IF(OR(O$6&lt;1,'User Inputs'!$F$8="Tier 1 RE"),0,
IF(OR(
NOT(ISNUMBER('User Inputs'!$D$74)),
NOT(ISNUMBER('User Inputs'!$B$74))
),"",
IF(O$6&gt;'User Inputs'!$D$74,0,
IF('User Inputs'!$F$8="Storage",
'User Inputs'!$D$19,
'User Inputs'!$H$29)*
(1-'User Inputs'!$B$74)^(O$6-1)*
'User Inputs'!$D$86*
(1+'User Inputs'!$F$86)^(O$6-1))))</f>
        <v/>
      </c>
      <c r="P31" s="180" t="str">
        <f>IF(OR(P$6&lt;1,'User Inputs'!$F$8="Tier 1 RE"),0,
IF(OR(
NOT(ISNUMBER('User Inputs'!$D$74)),
NOT(ISNUMBER('User Inputs'!$B$74))
),"",
IF(P$6&gt;'User Inputs'!$D$74,0,
IF('User Inputs'!$F$8="Storage",
'User Inputs'!$D$19,
'User Inputs'!$H$29)*
(1-'User Inputs'!$B$74)^(P$6-1)*
'User Inputs'!$D$86*
(1+'User Inputs'!$F$86)^(P$6-1))))</f>
        <v/>
      </c>
      <c r="Q31" s="180" t="str">
        <f>IF(OR(Q$6&lt;1,'User Inputs'!$F$8="Tier 1 RE"),0,
IF(OR(
NOT(ISNUMBER('User Inputs'!$D$74)),
NOT(ISNUMBER('User Inputs'!$B$74))
),"",
IF(Q$6&gt;'User Inputs'!$D$74,0,
IF('User Inputs'!$F$8="Storage",
'User Inputs'!$D$19,
'User Inputs'!$H$29)*
(1-'User Inputs'!$B$74)^(Q$6-1)*
'User Inputs'!$D$86*
(1+'User Inputs'!$F$86)^(Q$6-1))))</f>
        <v/>
      </c>
      <c r="R31" s="180" t="str">
        <f>IF(OR(R$6&lt;1,'User Inputs'!$F$8="Tier 1 RE"),0,
IF(OR(
NOT(ISNUMBER('User Inputs'!$D$74)),
NOT(ISNUMBER('User Inputs'!$B$74))
),"",
IF(R$6&gt;'User Inputs'!$D$74,0,
IF('User Inputs'!$F$8="Storage",
'User Inputs'!$D$19,
'User Inputs'!$H$29)*
(1-'User Inputs'!$B$74)^(R$6-1)*
'User Inputs'!$D$86*
(1+'User Inputs'!$F$86)^(R$6-1))))</f>
        <v/>
      </c>
      <c r="S31" s="180" t="str">
        <f>IF(OR(S$6&lt;1,'User Inputs'!$F$8="Tier 1 RE"),0,
IF(OR(
NOT(ISNUMBER('User Inputs'!$D$74)),
NOT(ISNUMBER('User Inputs'!$B$74))
),"",
IF(S$6&gt;'User Inputs'!$D$74,0,
IF('User Inputs'!$F$8="Storage",
'User Inputs'!$D$19,
'User Inputs'!$H$29)*
(1-'User Inputs'!$B$74)^(S$6-1)*
'User Inputs'!$D$86*
(1+'User Inputs'!$F$86)^(S$6-1))))</f>
        <v/>
      </c>
      <c r="T31" s="180" t="str">
        <f>IF(OR(T$6&lt;1,'User Inputs'!$F$8="Tier 1 RE"),0,
IF(OR(
NOT(ISNUMBER('User Inputs'!$D$74)),
NOT(ISNUMBER('User Inputs'!$B$74))
),"",
IF(T$6&gt;'User Inputs'!$D$74,0,
IF('User Inputs'!$F$8="Storage",
'User Inputs'!$D$19,
'User Inputs'!$H$29)*
(1-'User Inputs'!$B$74)^(T$6-1)*
'User Inputs'!$D$86*
(1+'User Inputs'!$F$86)^(T$6-1))))</f>
        <v/>
      </c>
      <c r="U31" s="180" t="str">
        <f>IF(OR(U$6&lt;1,'User Inputs'!$F$8="Tier 1 RE"),0,
IF(OR(
NOT(ISNUMBER('User Inputs'!$D$74)),
NOT(ISNUMBER('User Inputs'!$B$74))
),"",
IF(U$6&gt;'User Inputs'!$D$74,0,
IF('User Inputs'!$F$8="Storage",
'User Inputs'!$D$19,
'User Inputs'!$H$29)*
(1-'User Inputs'!$B$74)^(U$6-1)*
'User Inputs'!$D$86*
(1+'User Inputs'!$F$86)^(U$6-1))))</f>
        <v/>
      </c>
      <c r="V31" s="180" t="str">
        <f>IF(OR(V$6&lt;1,'User Inputs'!$F$8="Tier 1 RE"),0,
IF(OR(
NOT(ISNUMBER('User Inputs'!$D$74)),
NOT(ISNUMBER('User Inputs'!$B$74))
),"",
IF(V$6&gt;'User Inputs'!$D$74,0,
IF('User Inputs'!$F$8="Storage",
'User Inputs'!$D$19,
'User Inputs'!$H$29)*
(1-'User Inputs'!$B$74)^(V$6-1)*
'User Inputs'!$D$86*
(1+'User Inputs'!$F$86)^(V$6-1))))</f>
        <v/>
      </c>
      <c r="W31" s="180" t="str">
        <f>IF(OR(W$6&lt;1,'User Inputs'!$F$8="Tier 1 RE"),0,
IF(OR(
NOT(ISNUMBER('User Inputs'!$D$74)),
NOT(ISNUMBER('User Inputs'!$B$74))
),"",
IF(W$6&gt;'User Inputs'!$D$74,0,
IF('User Inputs'!$F$8="Storage",
'User Inputs'!$D$19,
'User Inputs'!$H$29)*
(1-'User Inputs'!$B$74)^(W$6-1)*
'User Inputs'!$D$86*
(1+'User Inputs'!$F$86)^(W$6-1))))</f>
        <v/>
      </c>
      <c r="X31" s="180" t="str">
        <f>IF(OR(X$6&lt;1,'User Inputs'!$F$8="Tier 1 RE"),0,
IF(OR(
NOT(ISNUMBER('User Inputs'!$D$74)),
NOT(ISNUMBER('User Inputs'!$B$74))
),"",
IF(X$6&gt;'User Inputs'!$D$74,0,
IF('User Inputs'!$F$8="Storage",
'User Inputs'!$D$19,
'User Inputs'!$H$29)*
(1-'User Inputs'!$B$74)^(X$6-1)*
'User Inputs'!$D$86*
(1+'User Inputs'!$F$86)^(X$6-1))))</f>
        <v/>
      </c>
      <c r="Y31" s="180" t="str">
        <f>IF(OR(Y$6&lt;1,'User Inputs'!$F$8="Tier 1 RE"),0,
IF(OR(
NOT(ISNUMBER('User Inputs'!$D$74)),
NOT(ISNUMBER('User Inputs'!$B$74))
),"",
IF(Y$6&gt;'User Inputs'!$D$74,0,
IF('User Inputs'!$F$8="Storage",
'User Inputs'!$D$19,
'User Inputs'!$H$29)*
(1-'User Inputs'!$B$74)^(Y$6-1)*
'User Inputs'!$D$86*
(1+'User Inputs'!$F$86)^(Y$6-1))))</f>
        <v/>
      </c>
      <c r="Z31" s="180" t="str">
        <f>IF(OR(Z$6&lt;1,'User Inputs'!$F$8="Tier 1 RE"),0,
IF(OR(
NOT(ISNUMBER('User Inputs'!$D$74)),
NOT(ISNUMBER('User Inputs'!$B$74))
),"",
IF(Z$6&gt;'User Inputs'!$D$74,0,
IF('User Inputs'!$F$8="Storage",
'User Inputs'!$D$19,
'User Inputs'!$H$29)*
(1-'User Inputs'!$B$74)^(Z$6-1)*
'User Inputs'!$D$86*
(1+'User Inputs'!$F$86)^(Z$6-1))))</f>
        <v/>
      </c>
      <c r="AA31" s="180" t="str">
        <f>IF(OR(AA$6&lt;1,'User Inputs'!$F$8="Tier 1 RE"),0,
IF(OR(
NOT(ISNUMBER('User Inputs'!$D$74)),
NOT(ISNUMBER('User Inputs'!$B$74))
),"",
IF(AA$6&gt;'User Inputs'!$D$74,0,
IF('User Inputs'!$F$8="Storage",
'User Inputs'!$D$19,
'User Inputs'!$H$29)*
(1-'User Inputs'!$B$74)^(AA$6-1)*
'User Inputs'!$D$86*
(1+'User Inputs'!$F$86)^(AA$6-1))))</f>
        <v/>
      </c>
      <c r="AB31" s="180" t="str">
        <f>IF(OR(AB$6&lt;1,'User Inputs'!$F$8="Tier 1 RE"),0,
IF(OR(
NOT(ISNUMBER('User Inputs'!$D$74)),
NOT(ISNUMBER('User Inputs'!$B$74))
),"",
IF(AB$6&gt;'User Inputs'!$D$74,0,
IF('User Inputs'!$F$8="Storage",
'User Inputs'!$D$19,
'User Inputs'!$H$29)*
(1-'User Inputs'!$B$74)^(AB$6-1)*
'User Inputs'!$D$86*
(1+'User Inputs'!$F$86)^(AB$6-1))))</f>
        <v/>
      </c>
      <c r="AC31" s="180" t="str">
        <f>IF(OR(AC$6&lt;1,'User Inputs'!$F$8="Tier 1 RE"),0,
IF(OR(
NOT(ISNUMBER('User Inputs'!$D$74)),
NOT(ISNUMBER('User Inputs'!$B$74))
),"",
IF(AC$6&gt;'User Inputs'!$D$74,0,
IF('User Inputs'!$F$8="Storage",
'User Inputs'!$D$19,
'User Inputs'!$H$29)*
(1-'User Inputs'!$B$74)^(AC$6-1)*
'User Inputs'!$D$86*
(1+'User Inputs'!$F$86)^(AC$6-1))))</f>
        <v/>
      </c>
      <c r="AD31" s="180" t="str">
        <f>IF(OR(AD$6&lt;1,'User Inputs'!$F$8="Tier 1 RE"),0,
IF(OR(
NOT(ISNUMBER('User Inputs'!$D$74)),
NOT(ISNUMBER('User Inputs'!$B$74))
),"",
IF(AD$6&gt;'User Inputs'!$D$74,0,
IF('User Inputs'!$F$8="Storage",
'User Inputs'!$D$19,
'User Inputs'!$H$29)*
(1-'User Inputs'!$B$74)^(AD$6-1)*
'User Inputs'!$D$86*
(1+'User Inputs'!$F$86)^(AD$6-1))))</f>
        <v/>
      </c>
      <c r="AE31" s="180" t="str">
        <f>IF(OR(AE$6&lt;1,'User Inputs'!$F$8="Tier 1 RE"),0,
IF(OR(
NOT(ISNUMBER('User Inputs'!$D$74)),
NOT(ISNUMBER('User Inputs'!$B$74))
),"",
IF(AE$6&gt;'User Inputs'!$D$74,0,
IF('User Inputs'!$F$8="Storage",
'User Inputs'!$D$19,
'User Inputs'!$H$29)*
(1-'User Inputs'!$B$74)^(AE$6-1)*
'User Inputs'!$D$86*
(1+'User Inputs'!$F$86)^(AE$6-1))))</f>
        <v/>
      </c>
      <c r="AF31" s="180" t="str">
        <f>IF(OR(AF$6&lt;1,'User Inputs'!$F$8="Tier 1 RE"),0,
IF(OR(
NOT(ISNUMBER('User Inputs'!$D$74)),
NOT(ISNUMBER('User Inputs'!$B$74))
),"",
IF(AF$6&gt;'User Inputs'!$D$74,0,
IF('User Inputs'!$F$8="Storage",
'User Inputs'!$D$19,
'User Inputs'!$H$29)*
(1-'User Inputs'!$B$74)^(AF$6-1)*
'User Inputs'!$D$86*
(1+'User Inputs'!$F$86)^(AF$6-1))))</f>
        <v/>
      </c>
      <c r="AG31" s="180" t="str">
        <f>IF(OR(AG$6&lt;1,'User Inputs'!$F$8="Tier 1 RE"),0,
IF(OR(
NOT(ISNUMBER('User Inputs'!$D$74)),
NOT(ISNUMBER('User Inputs'!$B$74))
),"",
IF(AG$6&gt;'User Inputs'!$D$74,0,
IF('User Inputs'!$F$8="Storage",
'User Inputs'!$D$19,
'User Inputs'!$H$29)*
(1-'User Inputs'!$B$74)^(AG$6-1)*
'User Inputs'!$D$86*
(1+'User Inputs'!$F$86)^(AG$6-1))))</f>
        <v/>
      </c>
      <c r="AH31" s="180" t="str">
        <f>IF(OR(AH$6&lt;1,'User Inputs'!$F$8="Tier 1 RE"),0,
IF(OR(
NOT(ISNUMBER('User Inputs'!$D$74)),
NOT(ISNUMBER('User Inputs'!$B$74))
),"",
IF(AH$6&gt;'User Inputs'!$D$74,0,
IF('User Inputs'!$F$8="Storage",
'User Inputs'!$D$19,
'User Inputs'!$H$29)*
(1-'User Inputs'!$B$74)^(AH$6-1)*
'User Inputs'!$D$86*
(1+'User Inputs'!$F$86)^(AH$6-1))))</f>
        <v/>
      </c>
      <c r="AI31" s="180" t="str">
        <f>IF(OR(AI$6&lt;1,'User Inputs'!$F$8="Tier 1 RE"),0,
IF(OR(
NOT(ISNUMBER('User Inputs'!$D$74)),
NOT(ISNUMBER('User Inputs'!$B$74))
),"",
IF(AI$6&gt;'User Inputs'!$D$74,0,
IF('User Inputs'!$F$8="Storage",
'User Inputs'!$D$19,
'User Inputs'!$H$29)*
(1-'User Inputs'!$B$74)^(AI$6-1)*
'User Inputs'!$D$86*
(1+'User Inputs'!$F$86)^(AI$6-1))))</f>
        <v/>
      </c>
      <c r="AJ31" s="180" t="str">
        <f>IF(OR(AJ$6&lt;1,'User Inputs'!$F$8="Tier 1 RE"),0,
IF(OR(
NOT(ISNUMBER('User Inputs'!$D$74)),
NOT(ISNUMBER('User Inputs'!$B$74))
),"",
IF(AJ$6&gt;'User Inputs'!$D$74,0,
IF('User Inputs'!$F$8="Storage",
'User Inputs'!$D$19,
'User Inputs'!$H$29)*
(1-'User Inputs'!$B$74)^(AJ$6-1)*
'User Inputs'!$D$86*
(1+'User Inputs'!$F$86)^(AJ$6-1))))</f>
        <v/>
      </c>
      <c r="AK31" s="180" t="str">
        <f>IF(OR(AK$6&lt;1,'User Inputs'!$F$8="Tier 1 RE"),0,
IF(OR(
NOT(ISNUMBER('User Inputs'!$D$74)),
NOT(ISNUMBER('User Inputs'!$B$74))
),"",
IF(AK$6&gt;'User Inputs'!$D$74,0,
IF('User Inputs'!$F$8="Storage",
'User Inputs'!$D$19,
'User Inputs'!$H$29)*
(1-'User Inputs'!$B$74)^(AK$6-1)*
'User Inputs'!$D$86*
(1+'User Inputs'!$F$86)^(AK$6-1))))</f>
        <v/>
      </c>
      <c r="AL31" s="180" t="str">
        <f>IF(OR(AL$6&lt;1,'User Inputs'!$F$8="Tier 1 RE"),0,
IF(OR(
NOT(ISNUMBER('User Inputs'!$D$74)),
NOT(ISNUMBER('User Inputs'!$B$74))
),"",
IF(AL$6&gt;'User Inputs'!$D$74,0,
IF('User Inputs'!$F$8="Storage",
'User Inputs'!$D$19,
'User Inputs'!$H$29)*
(1-'User Inputs'!$B$74)^(AL$6-1)*
'User Inputs'!$D$86*
(1+'User Inputs'!$F$86)^(AL$6-1))))</f>
        <v/>
      </c>
      <c r="AM31" s="180" t="str">
        <f>IF(OR(AM$6&lt;1,'User Inputs'!$F$8="Tier 1 RE"),0,
IF(OR(
NOT(ISNUMBER('User Inputs'!$D$74)),
NOT(ISNUMBER('User Inputs'!$B$74))
),"",
IF(AM$6&gt;'User Inputs'!$D$74,0,
IF('User Inputs'!$F$8="Storage",
'User Inputs'!$D$19,
'User Inputs'!$H$29)*
(1-'User Inputs'!$B$74)^(AM$6-1)*
'User Inputs'!$D$86*
(1+'User Inputs'!$F$86)^(AM$6-1))))</f>
        <v/>
      </c>
    </row>
    <row r="32" spans="1:39" s="178" customFormat="1" ht="17.100000000000001" customHeight="1">
      <c r="A32" s="16"/>
      <c r="B32" s="182" t="s">
        <v>365</v>
      </c>
      <c r="C32" s="180">
        <f>0</f>
        <v>0</v>
      </c>
      <c r="D32" s="180">
        <f>0</f>
        <v>0</v>
      </c>
      <c r="E32" s="180">
        <f ca="1">IF(OR(E$6&lt;1,E$6&gt;'User Inputs'!$F$19,
'User Inputs'!$F$8="Storage",
AND('User Inputs'!$B$17&lt;&gt;"Biomass",
'User Inputs'!$B$17&lt;&gt;"Poultry Litter-to-Energy",
'User Inputs'!$B$17&lt;&gt;"Methane-from-Waste",
'User Inputs'!$B$17&lt;&gt;"Fuel Cell")),0,
E9*'User Inputs'!$B$43*
'User Inputs'!$D$43*
(1+'User Inputs'!$F$43)^(E$6-1))</f>
        <v>0</v>
      </c>
      <c r="F32" s="180">
        <f ca="1">IF(OR(F$6&lt;1,F$6&gt;'User Inputs'!$F$19,
'User Inputs'!$F$8="Storage",
AND('User Inputs'!$B$17&lt;&gt;"Biomass",
'User Inputs'!$B$17&lt;&gt;"Poultry Litter-to-Energy",
'User Inputs'!$B$17&lt;&gt;"Methane-from-Waste",
'User Inputs'!$B$17&lt;&gt;"Fuel Cell")),0,
F9*'User Inputs'!$B$43*
'User Inputs'!$D$43*
(1+'User Inputs'!$F$43)^(F$6-1))</f>
        <v>0</v>
      </c>
      <c r="G32" s="180">
        <f ca="1">IF(OR(G$6&lt;1,G$6&gt;'User Inputs'!$F$19,
'User Inputs'!$F$8="Storage",
AND('User Inputs'!$B$17&lt;&gt;"Biomass",
'User Inputs'!$B$17&lt;&gt;"Poultry Litter-to-Energy",
'User Inputs'!$B$17&lt;&gt;"Methane-from-Waste",
'User Inputs'!$B$17&lt;&gt;"Fuel Cell")),0,
G9*'User Inputs'!$B$43*
'User Inputs'!$D$43*
(1+'User Inputs'!$F$43)^(G$6-1))</f>
        <v>0</v>
      </c>
      <c r="H32" s="180">
        <f ca="1">IF(OR(H$6&lt;1,H$6&gt;'User Inputs'!$F$19,
'User Inputs'!$F$8="Storage",
AND('User Inputs'!$B$17&lt;&gt;"Biomass",
'User Inputs'!$B$17&lt;&gt;"Poultry Litter-to-Energy",
'User Inputs'!$B$17&lt;&gt;"Methane-from-Waste",
'User Inputs'!$B$17&lt;&gt;"Fuel Cell")),0,
H9*'User Inputs'!$B$43*
'User Inputs'!$D$43*
(1+'User Inputs'!$F$43)^(H$6-1))</f>
        <v>0</v>
      </c>
      <c r="I32" s="180">
        <f ca="1">IF(OR(I$6&lt;1,I$6&gt;'User Inputs'!$F$19,
'User Inputs'!$F$8="Storage",
AND('User Inputs'!$B$17&lt;&gt;"Biomass",
'User Inputs'!$B$17&lt;&gt;"Poultry Litter-to-Energy",
'User Inputs'!$B$17&lt;&gt;"Methane-from-Waste",
'User Inputs'!$B$17&lt;&gt;"Fuel Cell")),0,
I9*'User Inputs'!$B$43*
'User Inputs'!$D$43*
(1+'User Inputs'!$F$43)^(I$6-1))</f>
        <v>0</v>
      </c>
      <c r="J32" s="180">
        <f ca="1">IF(OR(J$6&lt;1,J$6&gt;'User Inputs'!$F$19,
'User Inputs'!$F$8="Storage",
AND('User Inputs'!$B$17&lt;&gt;"Biomass",
'User Inputs'!$B$17&lt;&gt;"Poultry Litter-to-Energy",
'User Inputs'!$B$17&lt;&gt;"Methane-from-Waste",
'User Inputs'!$B$17&lt;&gt;"Fuel Cell")),0,
J9*'User Inputs'!$B$43*
'User Inputs'!$D$43*
(1+'User Inputs'!$F$43)^(J$6-1))</f>
        <v>0</v>
      </c>
      <c r="K32" s="180">
        <f ca="1">IF(OR(K$6&lt;1,K$6&gt;'User Inputs'!$F$19,
'User Inputs'!$F$8="Storage",
AND('User Inputs'!$B$17&lt;&gt;"Biomass",
'User Inputs'!$B$17&lt;&gt;"Poultry Litter-to-Energy",
'User Inputs'!$B$17&lt;&gt;"Methane-from-Waste",
'User Inputs'!$B$17&lt;&gt;"Fuel Cell")),0,
K9*'User Inputs'!$B$43*
'User Inputs'!$D$43*
(1+'User Inputs'!$F$43)^(K$6-1))</f>
        <v>0</v>
      </c>
      <c r="L32" s="180">
        <f ca="1">IF(OR(L$6&lt;1,L$6&gt;'User Inputs'!$F$19,
'User Inputs'!$F$8="Storage",
AND('User Inputs'!$B$17&lt;&gt;"Biomass",
'User Inputs'!$B$17&lt;&gt;"Poultry Litter-to-Energy",
'User Inputs'!$B$17&lt;&gt;"Methane-from-Waste",
'User Inputs'!$B$17&lt;&gt;"Fuel Cell")),0,
L9*'User Inputs'!$B$43*
'User Inputs'!$D$43*
(1+'User Inputs'!$F$43)^(L$6-1))</f>
        <v>0</v>
      </c>
      <c r="M32" s="180">
        <f ca="1">IF(OR(M$6&lt;1,M$6&gt;'User Inputs'!$F$19,
'User Inputs'!$F$8="Storage",
AND('User Inputs'!$B$17&lt;&gt;"Biomass",
'User Inputs'!$B$17&lt;&gt;"Poultry Litter-to-Energy",
'User Inputs'!$B$17&lt;&gt;"Methane-from-Waste",
'User Inputs'!$B$17&lt;&gt;"Fuel Cell")),0,
M9*'User Inputs'!$B$43*
'User Inputs'!$D$43*
(1+'User Inputs'!$F$43)^(M$6-1))</f>
        <v>0</v>
      </c>
      <c r="N32" s="180">
        <f ca="1">IF(OR(N$6&lt;1,N$6&gt;'User Inputs'!$F$19,
'User Inputs'!$F$8="Storage",
AND('User Inputs'!$B$17&lt;&gt;"Biomass",
'User Inputs'!$B$17&lt;&gt;"Poultry Litter-to-Energy",
'User Inputs'!$B$17&lt;&gt;"Methane-from-Waste",
'User Inputs'!$B$17&lt;&gt;"Fuel Cell")),0,
N9*'User Inputs'!$B$43*
'User Inputs'!$D$43*
(1+'User Inputs'!$F$43)^(N$6-1))</f>
        <v>0</v>
      </c>
      <c r="O32" s="180">
        <f ca="1">IF(OR(O$6&lt;1,O$6&gt;'User Inputs'!$F$19,
'User Inputs'!$F$8="Storage",
AND('User Inputs'!$B$17&lt;&gt;"Biomass",
'User Inputs'!$B$17&lt;&gt;"Poultry Litter-to-Energy",
'User Inputs'!$B$17&lt;&gt;"Methane-from-Waste",
'User Inputs'!$B$17&lt;&gt;"Fuel Cell")),0,
O9*'User Inputs'!$B$43*
'User Inputs'!$D$43*
(1+'User Inputs'!$F$43)^(O$6-1))</f>
        <v>0</v>
      </c>
      <c r="P32" s="180">
        <f ca="1">IF(OR(P$6&lt;1,P$6&gt;'User Inputs'!$F$19,
'User Inputs'!$F$8="Storage",
AND('User Inputs'!$B$17&lt;&gt;"Biomass",
'User Inputs'!$B$17&lt;&gt;"Poultry Litter-to-Energy",
'User Inputs'!$B$17&lt;&gt;"Methane-from-Waste",
'User Inputs'!$B$17&lt;&gt;"Fuel Cell")),0,
P9*'User Inputs'!$B$43*
'User Inputs'!$D$43*
(1+'User Inputs'!$F$43)^(P$6-1))</f>
        <v>0</v>
      </c>
      <c r="Q32" s="180">
        <f ca="1">IF(OR(Q$6&lt;1,Q$6&gt;'User Inputs'!$F$19,
'User Inputs'!$F$8="Storage",
AND('User Inputs'!$B$17&lt;&gt;"Biomass",
'User Inputs'!$B$17&lt;&gt;"Poultry Litter-to-Energy",
'User Inputs'!$B$17&lt;&gt;"Methane-from-Waste",
'User Inputs'!$B$17&lt;&gt;"Fuel Cell")),0,
Q9*'User Inputs'!$B$43*
'User Inputs'!$D$43*
(1+'User Inputs'!$F$43)^(Q$6-1))</f>
        <v>0</v>
      </c>
      <c r="R32" s="180">
        <f ca="1">IF(OR(R$6&lt;1,R$6&gt;'User Inputs'!$F$19,
'User Inputs'!$F$8="Storage",
AND('User Inputs'!$B$17&lt;&gt;"Biomass",
'User Inputs'!$B$17&lt;&gt;"Poultry Litter-to-Energy",
'User Inputs'!$B$17&lt;&gt;"Methane-from-Waste",
'User Inputs'!$B$17&lt;&gt;"Fuel Cell")),0,
R9*'User Inputs'!$B$43*
'User Inputs'!$D$43*
(1+'User Inputs'!$F$43)^(R$6-1))</f>
        <v>0</v>
      </c>
      <c r="S32" s="180">
        <f ca="1">IF(OR(S$6&lt;1,S$6&gt;'User Inputs'!$F$19,
'User Inputs'!$F$8="Storage",
AND('User Inputs'!$B$17&lt;&gt;"Biomass",
'User Inputs'!$B$17&lt;&gt;"Poultry Litter-to-Energy",
'User Inputs'!$B$17&lt;&gt;"Methane-from-Waste",
'User Inputs'!$B$17&lt;&gt;"Fuel Cell")),0,
S9*'User Inputs'!$B$43*
'User Inputs'!$D$43*
(1+'User Inputs'!$F$43)^(S$6-1))</f>
        <v>0</v>
      </c>
      <c r="T32" s="180">
        <f ca="1">IF(OR(T$6&lt;1,T$6&gt;'User Inputs'!$F$19,
'User Inputs'!$F$8="Storage",
AND('User Inputs'!$B$17&lt;&gt;"Biomass",
'User Inputs'!$B$17&lt;&gt;"Poultry Litter-to-Energy",
'User Inputs'!$B$17&lt;&gt;"Methane-from-Waste",
'User Inputs'!$B$17&lt;&gt;"Fuel Cell")),0,
T9*'User Inputs'!$B$43*
'User Inputs'!$D$43*
(1+'User Inputs'!$F$43)^(T$6-1))</f>
        <v>0</v>
      </c>
      <c r="U32" s="180">
        <f ca="1">IF(OR(U$6&lt;1,U$6&gt;'User Inputs'!$F$19,
'User Inputs'!$F$8="Storage",
AND('User Inputs'!$B$17&lt;&gt;"Biomass",
'User Inputs'!$B$17&lt;&gt;"Poultry Litter-to-Energy",
'User Inputs'!$B$17&lt;&gt;"Methane-from-Waste",
'User Inputs'!$B$17&lt;&gt;"Fuel Cell")),0,
U9*'User Inputs'!$B$43*
'User Inputs'!$D$43*
(1+'User Inputs'!$F$43)^(U$6-1))</f>
        <v>0</v>
      </c>
      <c r="V32" s="180">
        <f ca="1">IF(OR(V$6&lt;1,V$6&gt;'User Inputs'!$F$19,
'User Inputs'!$F$8="Storage",
AND('User Inputs'!$B$17&lt;&gt;"Biomass",
'User Inputs'!$B$17&lt;&gt;"Poultry Litter-to-Energy",
'User Inputs'!$B$17&lt;&gt;"Methane-from-Waste",
'User Inputs'!$B$17&lt;&gt;"Fuel Cell")),0,
V9*'User Inputs'!$B$43*
'User Inputs'!$D$43*
(1+'User Inputs'!$F$43)^(V$6-1))</f>
        <v>0</v>
      </c>
      <c r="W32" s="180">
        <f ca="1">IF(OR(W$6&lt;1,W$6&gt;'User Inputs'!$F$19,
'User Inputs'!$F$8="Storage",
AND('User Inputs'!$B$17&lt;&gt;"Biomass",
'User Inputs'!$B$17&lt;&gt;"Poultry Litter-to-Energy",
'User Inputs'!$B$17&lt;&gt;"Methane-from-Waste",
'User Inputs'!$B$17&lt;&gt;"Fuel Cell")),0,
W9*'User Inputs'!$B$43*
'User Inputs'!$D$43*
(1+'User Inputs'!$F$43)^(W$6-1))</f>
        <v>0</v>
      </c>
      <c r="X32" s="180">
        <f ca="1">IF(OR(X$6&lt;1,X$6&gt;'User Inputs'!$F$19,
'User Inputs'!$F$8="Storage",
AND('User Inputs'!$B$17&lt;&gt;"Biomass",
'User Inputs'!$B$17&lt;&gt;"Poultry Litter-to-Energy",
'User Inputs'!$B$17&lt;&gt;"Methane-from-Waste",
'User Inputs'!$B$17&lt;&gt;"Fuel Cell")),0,
X9*'User Inputs'!$B$43*
'User Inputs'!$D$43*
(1+'User Inputs'!$F$43)^(X$6-1))</f>
        <v>0</v>
      </c>
      <c r="Y32" s="180">
        <f ca="1">IF(OR(Y$6&lt;1,Y$6&gt;'User Inputs'!$F$19,
'User Inputs'!$F$8="Storage",
AND('User Inputs'!$B$17&lt;&gt;"Biomass",
'User Inputs'!$B$17&lt;&gt;"Poultry Litter-to-Energy",
'User Inputs'!$B$17&lt;&gt;"Methane-from-Waste",
'User Inputs'!$B$17&lt;&gt;"Fuel Cell")),0,
Y9*'User Inputs'!$B$43*
'User Inputs'!$D$43*
(1+'User Inputs'!$F$43)^(Y$6-1))</f>
        <v>0</v>
      </c>
      <c r="Z32" s="180">
        <f ca="1">IF(OR(Z$6&lt;1,Z$6&gt;'User Inputs'!$F$19,
'User Inputs'!$F$8="Storage",
AND('User Inputs'!$B$17&lt;&gt;"Biomass",
'User Inputs'!$B$17&lt;&gt;"Poultry Litter-to-Energy",
'User Inputs'!$B$17&lt;&gt;"Methane-from-Waste",
'User Inputs'!$B$17&lt;&gt;"Fuel Cell")),0,
Z9*'User Inputs'!$B$43*
'User Inputs'!$D$43*
(1+'User Inputs'!$F$43)^(Z$6-1))</f>
        <v>0</v>
      </c>
      <c r="AA32" s="180">
        <f ca="1">IF(OR(AA$6&lt;1,AA$6&gt;'User Inputs'!$F$19,
'User Inputs'!$F$8="Storage",
AND('User Inputs'!$B$17&lt;&gt;"Biomass",
'User Inputs'!$B$17&lt;&gt;"Poultry Litter-to-Energy",
'User Inputs'!$B$17&lt;&gt;"Methane-from-Waste",
'User Inputs'!$B$17&lt;&gt;"Fuel Cell")),0,
AA9*'User Inputs'!$B$43*
'User Inputs'!$D$43*
(1+'User Inputs'!$F$43)^(AA$6-1))</f>
        <v>0</v>
      </c>
      <c r="AB32" s="180">
        <f ca="1">IF(OR(AB$6&lt;1,AB$6&gt;'User Inputs'!$F$19,
'User Inputs'!$F$8="Storage",
AND('User Inputs'!$B$17&lt;&gt;"Biomass",
'User Inputs'!$B$17&lt;&gt;"Poultry Litter-to-Energy",
'User Inputs'!$B$17&lt;&gt;"Methane-from-Waste",
'User Inputs'!$B$17&lt;&gt;"Fuel Cell")),0,
AB9*'User Inputs'!$B$43*
'User Inputs'!$D$43*
(1+'User Inputs'!$F$43)^(AB$6-1))</f>
        <v>0</v>
      </c>
      <c r="AC32" s="180">
        <f ca="1">IF(OR(AC$6&lt;1,AC$6&gt;'User Inputs'!$F$19,
'User Inputs'!$F$8="Storage",
AND('User Inputs'!$B$17&lt;&gt;"Biomass",
'User Inputs'!$B$17&lt;&gt;"Poultry Litter-to-Energy",
'User Inputs'!$B$17&lt;&gt;"Methane-from-Waste",
'User Inputs'!$B$17&lt;&gt;"Fuel Cell")),0,
AC9*'User Inputs'!$B$43*
'User Inputs'!$D$43*
(1+'User Inputs'!$F$43)^(AC$6-1))</f>
        <v>0</v>
      </c>
      <c r="AD32" s="180">
        <f ca="1">IF(OR(AD$6&lt;1,AD$6&gt;'User Inputs'!$F$19,
'User Inputs'!$F$8="Storage",
AND('User Inputs'!$B$17&lt;&gt;"Biomass",
'User Inputs'!$B$17&lt;&gt;"Poultry Litter-to-Energy",
'User Inputs'!$B$17&lt;&gt;"Methane-from-Waste",
'User Inputs'!$B$17&lt;&gt;"Fuel Cell")),0,
AD9*'User Inputs'!$B$43*
'User Inputs'!$D$43*
(1+'User Inputs'!$F$43)^(AD$6-1))</f>
        <v>0</v>
      </c>
      <c r="AE32" s="180">
        <f ca="1">IF(OR(AE$6&lt;1,AE$6&gt;'User Inputs'!$F$19,
'User Inputs'!$F$8="Storage",
AND('User Inputs'!$B$17&lt;&gt;"Biomass",
'User Inputs'!$B$17&lt;&gt;"Poultry Litter-to-Energy",
'User Inputs'!$B$17&lt;&gt;"Methane-from-Waste",
'User Inputs'!$B$17&lt;&gt;"Fuel Cell")),0,
AE9*'User Inputs'!$B$43*
'User Inputs'!$D$43*
(1+'User Inputs'!$F$43)^(AE$6-1))</f>
        <v>0</v>
      </c>
      <c r="AF32" s="180">
        <f ca="1">IF(OR(AF$6&lt;1,AF$6&gt;'User Inputs'!$F$19,
'User Inputs'!$F$8="Storage",
AND('User Inputs'!$B$17&lt;&gt;"Biomass",
'User Inputs'!$B$17&lt;&gt;"Poultry Litter-to-Energy",
'User Inputs'!$B$17&lt;&gt;"Methane-from-Waste",
'User Inputs'!$B$17&lt;&gt;"Fuel Cell")),0,
AF9*'User Inputs'!$B$43*
'User Inputs'!$D$43*
(1+'User Inputs'!$F$43)^(AF$6-1))</f>
        <v>0</v>
      </c>
      <c r="AG32" s="180">
        <f ca="1">IF(OR(AG$6&lt;1,AG$6&gt;'User Inputs'!$F$19,
'User Inputs'!$F$8="Storage",
AND('User Inputs'!$B$17&lt;&gt;"Biomass",
'User Inputs'!$B$17&lt;&gt;"Poultry Litter-to-Energy",
'User Inputs'!$B$17&lt;&gt;"Methane-from-Waste",
'User Inputs'!$B$17&lt;&gt;"Fuel Cell")),0,
AG9*'User Inputs'!$B$43*
'User Inputs'!$D$43*
(1+'User Inputs'!$F$43)^(AG$6-1))</f>
        <v>0</v>
      </c>
      <c r="AH32" s="180">
        <f ca="1">IF(OR(AH$6&lt;1,AH$6&gt;'User Inputs'!$F$19,
'User Inputs'!$F$8="Storage",
AND('User Inputs'!$B$17&lt;&gt;"Biomass",
'User Inputs'!$B$17&lt;&gt;"Poultry Litter-to-Energy",
'User Inputs'!$B$17&lt;&gt;"Methane-from-Waste",
'User Inputs'!$B$17&lt;&gt;"Fuel Cell")),0,
AH9*'User Inputs'!$B$43*
'User Inputs'!$D$43*
(1+'User Inputs'!$F$43)^(AH$6-1))</f>
        <v>0</v>
      </c>
      <c r="AI32" s="180">
        <f ca="1">IF(OR(AI$6&lt;1,AI$6&gt;'User Inputs'!$F$19,
'User Inputs'!$F$8="Storage",
AND('User Inputs'!$B$17&lt;&gt;"Biomass",
'User Inputs'!$B$17&lt;&gt;"Poultry Litter-to-Energy",
'User Inputs'!$B$17&lt;&gt;"Methane-from-Waste",
'User Inputs'!$B$17&lt;&gt;"Fuel Cell")),0,
AI9*'User Inputs'!$B$43*
'User Inputs'!$D$43*
(1+'User Inputs'!$F$43)^(AI$6-1))</f>
        <v>0</v>
      </c>
      <c r="AJ32" s="180">
        <f ca="1">IF(OR(AJ$6&lt;1,AJ$6&gt;'User Inputs'!$F$19,
'User Inputs'!$F$8="Storage",
AND('User Inputs'!$B$17&lt;&gt;"Biomass",
'User Inputs'!$B$17&lt;&gt;"Poultry Litter-to-Energy",
'User Inputs'!$B$17&lt;&gt;"Methane-from-Waste",
'User Inputs'!$B$17&lt;&gt;"Fuel Cell")),0,
AJ9*'User Inputs'!$B$43*
'User Inputs'!$D$43*
(1+'User Inputs'!$F$43)^(AJ$6-1))</f>
        <v>0</v>
      </c>
      <c r="AK32" s="180">
        <f ca="1">IF(OR(AK$6&lt;1,AK$6&gt;'User Inputs'!$F$19,
'User Inputs'!$F$8="Storage",
AND('User Inputs'!$B$17&lt;&gt;"Biomass",
'User Inputs'!$B$17&lt;&gt;"Poultry Litter-to-Energy",
'User Inputs'!$B$17&lt;&gt;"Methane-from-Waste",
'User Inputs'!$B$17&lt;&gt;"Fuel Cell")),0,
AK9*'User Inputs'!$B$43*
'User Inputs'!$D$43*
(1+'User Inputs'!$F$43)^(AK$6-1))</f>
        <v>0</v>
      </c>
      <c r="AL32" s="180">
        <f ca="1">IF(OR(AL$6&lt;1,AL$6&gt;'User Inputs'!$F$19,
'User Inputs'!$F$8="Storage",
AND('User Inputs'!$B$17&lt;&gt;"Biomass",
'User Inputs'!$B$17&lt;&gt;"Poultry Litter-to-Energy",
'User Inputs'!$B$17&lt;&gt;"Methane-from-Waste",
'User Inputs'!$B$17&lt;&gt;"Fuel Cell")),0,
AL9*'User Inputs'!$B$43*
'User Inputs'!$D$43*
(1+'User Inputs'!$F$43)^(AL$6-1))</f>
        <v>0</v>
      </c>
      <c r="AM32" s="180">
        <f ca="1">IF(OR(AM$6&lt;1,AM$6&gt;'User Inputs'!$F$19,
'User Inputs'!$F$8="Storage",
AND('User Inputs'!$B$17&lt;&gt;"Biomass",
'User Inputs'!$B$17&lt;&gt;"Poultry Litter-to-Energy",
'User Inputs'!$B$17&lt;&gt;"Methane-from-Waste",
'User Inputs'!$B$17&lt;&gt;"Fuel Cell")),0,
AM9*'User Inputs'!$B$43*
'User Inputs'!$D$43*
(1+'User Inputs'!$F$43)^(AM$6-1))</f>
        <v>0</v>
      </c>
    </row>
    <row r="33" spans="1:39" s="178" customFormat="1" ht="17.100000000000001" customHeight="1">
      <c r="A33" s="16"/>
      <c r="B33" s="182" t="s">
        <v>366</v>
      </c>
      <c r="C33" s="180">
        <f>0</f>
        <v>0</v>
      </c>
      <c r="D33" s="180">
        <f>0</f>
        <v>0</v>
      </c>
      <c r="E33" s="180">
        <f ca="1">IF(OR(E$6&lt;1,E$6&gt;'User Inputs'!$F$19),0,
IF('User Inputs'!$B$88="Yes",0,
'User Inputs'!$D$88*(1+'User Inputs'!$F$86)^(E$6-1)))</f>
        <v>0</v>
      </c>
      <c r="F33" s="180">
        <f ca="1">IF(OR(F$6&lt;1,F$6&gt;'User Inputs'!$F$19),0,
IF('User Inputs'!$B$88="Yes",0,
'User Inputs'!$D$88*(1+'User Inputs'!$F$86)^(F$6-1)))</f>
        <v>0</v>
      </c>
      <c r="G33" s="180">
        <f ca="1">IF(OR(G$6&lt;1,G$6&gt;'User Inputs'!$F$19),0,
IF('User Inputs'!$B$88="Yes",0,
'User Inputs'!$D$88*(1+'User Inputs'!$F$86)^(G$6-1)))</f>
        <v>0</v>
      </c>
      <c r="H33" s="180">
        <f ca="1">IF(OR(H$6&lt;1,H$6&gt;'User Inputs'!$F$19),0,
IF('User Inputs'!$B$88="Yes",0,
'User Inputs'!$D$88*(1+'User Inputs'!$F$86)^(H$6-1)))</f>
        <v>0</v>
      </c>
      <c r="I33" s="180">
        <f ca="1">IF(OR(I$6&lt;1,I$6&gt;'User Inputs'!$F$19),0,
IF('User Inputs'!$B$88="Yes",0,
'User Inputs'!$D$88*(1+'User Inputs'!$F$86)^(I$6-1)))</f>
        <v>0</v>
      </c>
      <c r="J33" s="180">
        <f ca="1">IF(OR(J$6&lt;1,J$6&gt;'User Inputs'!$F$19),0,
IF('User Inputs'!$B$88="Yes",0,
'User Inputs'!$D$88*(1+'User Inputs'!$F$86)^(J$6-1)))</f>
        <v>0</v>
      </c>
      <c r="K33" s="180">
        <f ca="1">IF(OR(K$6&lt;1,K$6&gt;'User Inputs'!$F$19),0,
IF('User Inputs'!$B$88="Yes",0,
'User Inputs'!$D$88*(1+'User Inputs'!$F$86)^(K$6-1)))</f>
        <v>0</v>
      </c>
      <c r="L33" s="180">
        <f ca="1">IF(OR(L$6&lt;1,L$6&gt;'User Inputs'!$F$19),0,
IF('User Inputs'!$B$88="Yes",0,
'User Inputs'!$D$88*(1+'User Inputs'!$F$86)^(L$6-1)))</f>
        <v>0</v>
      </c>
      <c r="M33" s="180">
        <f ca="1">IF(OR(M$6&lt;1,M$6&gt;'User Inputs'!$F$19),0,
IF('User Inputs'!$B$88="Yes",0,
'User Inputs'!$D$88*(1+'User Inputs'!$F$86)^(M$6-1)))</f>
        <v>0</v>
      </c>
      <c r="N33" s="180">
        <f ca="1">IF(OR(N$6&lt;1,N$6&gt;'User Inputs'!$F$19),0,
IF('User Inputs'!$B$88="Yes",0,
'User Inputs'!$D$88*(1+'User Inputs'!$F$86)^(N$6-1)))</f>
        <v>0</v>
      </c>
      <c r="O33" s="180">
        <f ca="1">IF(OR(O$6&lt;1,O$6&gt;'User Inputs'!$F$19),0,
IF('User Inputs'!$B$88="Yes",0,
'User Inputs'!$D$88*(1+'User Inputs'!$F$86)^(O$6-1)))</f>
        <v>0</v>
      </c>
      <c r="P33" s="180">
        <f ca="1">IF(OR(P$6&lt;1,P$6&gt;'User Inputs'!$F$19),0,
IF('User Inputs'!$B$88="Yes",0,
'User Inputs'!$D$88*(1+'User Inputs'!$F$86)^(P$6-1)))</f>
        <v>0</v>
      </c>
      <c r="Q33" s="180">
        <f ca="1">IF(OR(Q$6&lt;1,Q$6&gt;'User Inputs'!$F$19),0,
IF('User Inputs'!$B$88="Yes",0,
'User Inputs'!$D$88*(1+'User Inputs'!$F$86)^(Q$6-1)))</f>
        <v>0</v>
      </c>
      <c r="R33" s="180">
        <f ca="1">IF(OR(R$6&lt;1,R$6&gt;'User Inputs'!$F$19),0,
IF('User Inputs'!$B$88="Yes",0,
'User Inputs'!$D$88*(1+'User Inputs'!$F$86)^(R$6-1)))</f>
        <v>0</v>
      </c>
      <c r="S33" s="180">
        <f ca="1">IF(OR(S$6&lt;1,S$6&gt;'User Inputs'!$F$19),0,
IF('User Inputs'!$B$88="Yes",0,
'User Inputs'!$D$88*(1+'User Inputs'!$F$86)^(S$6-1)))</f>
        <v>0</v>
      </c>
      <c r="T33" s="180">
        <f ca="1">IF(OR(T$6&lt;1,T$6&gt;'User Inputs'!$F$19),0,
IF('User Inputs'!$B$88="Yes",0,
'User Inputs'!$D$88*(1+'User Inputs'!$F$86)^(T$6-1)))</f>
        <v>0</v>
      </c>
      <c r="U33" s="180">
        <f ca="1">IF(OR(U$6&lt;1,U$6&gt;'User Inputs'!$F$19),0,
IF('User Inputs'!$B$88="Yes",0,
'User Inputs'!$D$88*(1+'User Inputs'!$F$86)^(U$6-1)))</f>
        <v>0</v>
      </c>
      <c r="V33" s="180">
        <f ca="1">IF(OR(V$6&lt;1,V$6&gt;'User Inputs'!$F$19),0,
IF('User Inputs'!$B$88="Yes",0,
'User Inputs'!$D$88*(1+'User Inputs'!$F$86)^(V$6-1)))</f>
        <v>0</v>
      </c>
      <c r="W33" s="180">
        <f ca="1">IF(OR(W$6&lt;1,W$6&gt;'User Inputs'!$F$19),0,
IF('User Inputs'!$B$88="Yes",0,
'User Inputs'!$D$88*(1+'User Inputs'!$F$86)^(W$6-1)))</f>
        <v>0</v>
      </c>
      <c r="X33" s="180">
        <f ca="1">IF(OR(X$6&lt;1,X$6&gt;'User Inputs'!$F$19),0,
IF('User Inputs'!$B$88="Yes",0,
'User Inputs'!$D$88*(1+'User Inputs'!$F$86)^(X$6-1)))</f>
        <v>0</v>
      </c>
      <c r="Y33" s="180">
        <f ca="1">IF(OR(Y$6&lt;1,Y$6&gt;'User Inputs'!$F$19),0,
IF('User Inputs'!$B$88="Yes",0,
'User Inputs'!$D$88*(1+'User Inputs'!$F$86)^(Y$6-1)))</f>
        <v>0</v>
      </c>
      <c r="Z33" s="180">
        <f ca="1">IF(OR(Z$6&lt;1,Z$6&gt;'User Inputs'!$F$19),0,
IF('User Inputs'!$B$88="Yes",0,
'User Inputs'!$D$88*(1+'User Inputs'!$F$86)^(Z$6-1)))</f>
        <v>0</v>
      </c>
      <c r="AA33" s="180">
        <f ca="1">IF(OR(AA$6&lt;1,AA$6&gt;'User Inputs'!$F$19),0,
IF('User Inputs'!$B$88="Yes",0,
'User Inputs'!$D$88*(1+'User Inputs'!$F$86)^(AA$6-1)))</f>
        <v>0</v>
      </c>
      <c r="AB33" s="180">
        <f ca="1">IF(OR(AB$6&lt;1,AB$6&gt;'User Inputs'!$F$19),0,
IF('User Inputs'!$B$88="Yes",0,
'User Inputs'!$D$88*(1+'User Inputs'!$F$86)^(AB$6-1)))</f>
        <v>0</v>
      </c>
      <c r="AC33" s="180">
        <f ca="1">IF(OR(AC$6&lt;1,AC$6&gt;'User Inputs'!$F$19),0,
IF('User Inputs'!$B$88="Yes",0,
'User Inputs'!$D$88*(1+'User Inputs'!$F$86)^(AC$6-1)))</f>
        <v>0</v>
      </c>
      <c r="AD33" s="180">
        <f ca="1">IF(OR(AD$6&lt;1,AD$6&gt;'User Inputs'!$F$19),0,
IF('User Inputs'!$B$88="Yes",0,
'User Inputs'!$D$88*(1+'User Inputs'!$F$86)^(AD$6-1)))</f>
        <v>0</v>
      </c>
      <c r="AE33" s="180">
        <f ca="1">IF(OR(AE$6&lt;1,AE$6&gt;'User Inputs'!$F$19),0,
IF('User Inputs'!$B$88="Yes",0,
'User Inputs'!$D$88*(1+'User Inputs'!$F$86)^(AE$6-1)))</f>
        <v>0</v>
      </c>
      <c r="AF33" s="180">
        <f ca="1">IF(OR(AF$6&lt;1,AF$6&gt;'User Inputs'!$F$19),0,
IF('User Inputs'!$B$88="Yes",0,
'User Inputs'!$D$88*(1+'User Inputs'!$F$86)^(AF$6-1)))</f>
        <v>0</v>
      </c>
      <c r="AG33" s="180">
        <f ca="1">IF(OR(AG$6&lt;1,AG$6&gt;'User Inputs'!$F$19),0,
IF('User Inputs'!$B$88="Yes",0,
'User Inputs'!$D$88*(1+'User Inputs'!$F$86)^(AG$6-1)))</f>
        <v>0</v>
      </c>
      <c r="AH33" s="180">
        <f ca="1">IF(OR(AH$6&lt;1,AH$6&gt;'User Inputs'!$F$19),0,
IF('User Inputs'!$B$88="Yes",0,
'User Inputs'!$D$88*(1+'User Inputs'!$F$86)^(AH$6-1)))</f>
        <v>0</v>
      </c>
      <c r="AI33" s="180">
        <f ca="1">IF(OR(AI$6&lt;1,AI$6&gt;'User Inputs'!$F$19),0,
IF('User Inputs'!$B$88="Yes",0,
'User Inputs'!$D$88*(1+'User Inputs'!$F$86)^(AI$6-1)))</f>
        <v>0</v>
      </c>
      <c r="AJ33" s="180">
        <f ca="1">IF(OR(AJ$6&lt;1,AJ$6&gt;'User Inputs'!$F$19),0,
IF('User Inputs'!$B$88="Yes",0,
'User Inputs'!$D$88*(1+'User Inputs'!$F$86)^(AJ$6-1)))</f>
        <v>0</v>
      </c>
      <c r="AK33" s="180">
        <f ca="1">IF(OR(AK$6&lt;1,AK$6&gt;'User Inputs'!$F$19),0,
IF('User Inputs'!$B$88="Yes",0,
'User Inputs'!$D$88*(1+'User Inputs'!$F$86)^(AK$6-1)))</f>
        <v>0</v>
      </c>
      <c r="AL33" s="180">
        <f ca="1">IF(OR(AL$6&lt;1,AL$6&gt;'User Inputs'!$F$19),0,
IF('User Inputs'!$B$88="Yes",0,
'User Inputs'!$D$88*(1+'User Inputs'!$F$86)^(AL$6-1)))</f>
        <v>0</v>
      </c>
      <c r="AM33" s="180">
        <f ca="1">IF(OR(AM$6&lt;1,AM$6&gt;'User Inputs'!$F$19),0,
IF('User Inputs'!$B$88="Yes",0,
'User Inputs'!$D$88*(1+'User Inputs'!$F$86)^(AM$6-1)))</f>
        <v>0</v>
      </c>
    </row>
    <row r="34" spans="1:39" s="178" customFormat="1" ht="17.100000000000001" customHeight="1">
      <c r="A34" s="16"/>
      <c r="B34" s="183" t="s">
        <v>367</v>
      </c>
      <c r="C34" s="184">
        <f>0</f>
        <v>0</v>
      </c>
      <c r="D34" s="180">
        <f>0</f>
        <v>0</v>
      </c>
      <c r="E34" s="184">
        <f>IFERROR(IF(AND(
'User Inputs'!$B$78="Yes",
OR('User Inputs'!$F$8="Storage",'User Inputs'!$F$8="TIER 1 RE + Storage"),
E$6&gt;0,
E$6&lt;='User Inputs'!$D$74,
'User Inputs'!$D$78&gt;0,
MOD(E$6,'User Inputs'!$D$78)=0),
'User Inputs'!$F$109*1000*
'User Inputs'!$F$78*
(1-(1-'User Inputs'!$B$74)^'User Inputs'!$D$78),
0),0)</f>
        <v>0</v>
      </c>
      <c r="F34" s="184">
        <f>IFERROR(IF(AND(
'User Inputs'!$B$78="Yes",
OR('User Inputs'!$F$8="Storage",'User Inputs'!$F$8="TIER 1 RE + Storage"),
F$6&gt;0,
F$6&lt;='User Inputs'!$D$74,
'User Inputs'!$D$78&gt;0,
MOD(F$6,'User Inputs'!$D$78)=0),
'User Inputs'!$F$109*1000*
'User Inputs'!$F$78*
(1-(1-'User Inputs'!$B$74)^'User Inputs'!$D$78),
0),0)</f>
        <v>0</v>
      </c>
      <c r="G34" s="184">
        <f>IFERROR(IF(AND(
'User Inputs'!$B$78="Yes",
OR('User Inputs'!$F$8="Storage",'User Inputs'!$F$8="TIER 1 RE + Storage"),
G$6&gt;0,
G$6&lt;='User Inputs'!$D$74,
'User Inputs'!$D$78&gt;0,
MOD(G$6,'User Inputs'!$D$78)=0),
'User Inputs'!$F$109*1000*
'User Inputs'!$F$78*
(1-(1-'User Inputs'!$B$74)^'User Inputs'!$D$78),
0),0)</f>
        <v>0</v>
      </c>
      <c r="H34" s="184">
        <f>IFERROR(IF(AND(
'User Inputs'!$B$78="Yes",
OR('User Inputs'!$F$8="Storage",'User Inputs'!$F$8="TIER 1 RE + Storage"),
H$6&gt;0,
H$6&lt;='User Inputs'!$D$74,
'User Inputs'!$D$78&gt;0,
MOD(H$6,'User Inputs'!$D$78)=0),
'User Inputs'!$F$109*1000*
'User Inputs'!$F$78*
(1-(1-'User Inputs'!$B$74)^'User Inputs'!$D$78),
0),0)</f>
        <v>0</v>
      </c>
      <c r="I34" s="184">
        <f>IFERROR(IF(AND(
'User Inputs'!$B$78="Yes",
OR('User Inputs'!$F$8="Storage",'User Inputs'!$F$8="TIER 1 RE + Storage"),
I$6&gt;0,
I$6&lt;='User Inputs'!$D$74,
'User Inputs'!$D$78&gt;0,
MOD(I$6,'User Inputs'!$D$78)=0),
'User Inputs'!$F$109*1000*
'User Inputs'!$F$78*
(1-(1-'User Inputs'!$B$74)^'User Inputs'!$D$78),
0),0)</f>
        <v>0</v>
      </c>
      <c r="J34" s="184">
        <f>IFERROR(IF(AND(
'User Inputs'!$B$78="Yes",
OR('User Inputs'!$F$8="Storage",'User Inputs'!$F$8="TIER 1 RE + Storage"),
J$6&gt;0,
J$6&lt;='User Inputs'!$D$74,
'User Inputs'!$D$78&gt;0,
MOD(J$6,'User Inputs'!$D$78)=0),
'User Inputs'!$F$109*1000*
'User Inputs'!$F$78*
(1-(1-'User Inputs'!$B$74)^'User Inputs'!$D$78),
0),0)</f>
        <v>0</v>
      </c>
      <c r="K34" s="184">
        <f>IFERROR(IF(AND(
'User Inputs'!$B$78="Yes",
OR('User Inputs'!$F$8="Storage",'User Inputs'!$F$8="TIER 1 RE + Storage"),
K$6&gt;0,
K$6&lt;='User Inputs'!$D$74,
'User Inputs'!$D$78&gt;0,
MOD(K$6,'User Inputs'!$D$78)=0),
'User Inputs'!$F$109*1000*
'User Inputs'!$F$78*
(1-(1-'User Inputs'!$B$74)^'User Inputs'!$D$78),
0),0)</f>
        <v>0</v>
      </c>
      <c r="L34" s="184">
        <f>IFERROR(IF(AND(
'User Inputs'!$B$78="Yes",
OR('User Inputs'!$F$8="Storage",'User Inputs'!$F$8="TIER 1 RE + Storage"),
L$6&gt;0,
L$6&lt;='User Inputs'!$D$74,
'User Inputs'!$D$78&gt;0,
MOD(L$6,'User Inputs'!$D$78)=0),
'User Inputs'!$F$109*1000*
'User Inputs'!$F$78*
(1-(1-'User Inputs'!$B$74)^'User Inputs'!$D$78),
0),0)</f>
        <v>0</v>
      </c>
      <c r="M34" s="184">
        <f>IFERROR(IF(AND(
'User Inputs'!$B$78="Yes",
OR('User Inputs'!$F$8="Storage",'User Inputs'!$F$8="TIER 1 RE + Storage"),
M$6&gt;0,
M$6&lt;='User Inputs'!$D$74,
'User Inputs'!$D$78&gt;0,
MOD(M$6,'User Inputs'!$D$78)=0),
'User Inputs'!$F$109*1000*
'User Inputs'!$F$78*
(1-(1-'User Inputs'!$B$74)^'User Inputs'!$D$78),
0),0)</f>
        <v>0</v>
      </c>
      <c r="N34" s="184">
        <f>IFERROR(IF(AND(
'User Inputs'!$B$78="Yes",
OR('User Inputs'!$F$8="Storage",'User Inputs'!$F$8="TIER 1 RE + Storage"),
N$6&gt;0,
N$6&lt;='User Inputs'!$D$74,
'User Inputs'!$D$78&gt;0,
MOD(N$6,'User Inputs'!$D$78)=0),
'User Inputs'!$F$109*1000*
'User Inputs'!$F$78*
(1-(1-'User Inputs'!$B$74)^'User Inputs'!$D$78),
0),0)</f>
        <v>0</v>
      </c>
      <c r="O34" s="184">
        <f>IFERROR(IF(AND(
'User Inputs'!$B$78="Yes",
OR('User Inputs'!$F$8="Storage",'User Inputs'!$F$8="TIER 1 RE + Storage"),
O$6&gt;0,
O$6&lt;='User Inputs'!$D$74,
'User Inputs'!$D$78&gt;0,
MOD(O$6,'User Inputs'!$D$78)=0),
'User Inputs'!$F$109*1000*
'User Inputs'!$F$78*
(1-(1-'User Inputs'!$B$74)^'User Inputs'!$D$78),
0),0)</f>
        <v>0</v>
      </c>
      <c r="P34" s="184">
        <f>IFERROR(IF(AND(
'User Inputs'!$B$78="Yes",
OR('User Inputs'!$F$8="Storage",'User Inputs'!$F$8="TIER 1 RE + Storage"),
P$6&gt;0,
P$6&lt;='User Inputs'!$D$74,
'User Inputs'!$D$78&gt;0,
MOD(P$6,'User Inputs'!$D$78)=0),
'User Inputs'!$F$109*1000*
'User Inputs'!$F$78*
(1-(1-'User Inputs'!$B$74)^'User Inputs'!$D$78),
0),0)</f>
        <v>0</v>
      </c>
      <c r="Q34" s="184">
        <f>IFERROR(IF(AND(
'User Inputs'!$B$78="Yes",
OR('User Inputs'!$F$8="Storage",'User Inputs'!$F$8="TIER 1 RE + Storage"),
Q$6&gt;0,
Q$6&lt;='User Inputs'!$D$74,
'User Inputs'!$D$78&gt;0,
MOD(Q$6,'User Inputs'!$D$78)=0),
'User Inputs'!$F$109*1000*
'User Inputs'!$F$78*
(1-(1-'User Inputs'!$B$74)^'User Inputs'!$D$78),
0),0)</f>
        <v>0</v>
      </c>
      <c r="R34" s="184">
        <f>IFERROR(IF(AND(
'User Inputs'!$B$78="Yes",
OR('User Inputs'!$F$8="Storage",'User Inputs'!$F$8="TIER 1 RE + Storage"),
R$6&gt;0,
R$6&lt;='User Inputs'!$D$74,
'User Inputs'!$D$78&gt;0,
MOD(R$6,'User Inputs'!$D$78)=0),
'User Inputs'!$F$109*1000*
'User Inputs'!$F$78*
(1-(1-'User Inputs'!$B$74)^'User Inputs'!$D$78),
0),0)</f>
        <v>0</v>
      </c>
      <c r="S34" s="184">
        <f>IFERROR(IF(AND(
'User Inputs'!$B$78="Yes",
OR('User Inputs'!$F$8="Storage",'User Inputs'!$F$8="TIER 1 RE + Storage"),
S$6&gt;0,
S$6&lt;='User Inputs'!$D$74,
'User Inputs'!$D$78&gt;0,
MOD(S$6,'User Inputs'!$D$78)=0),
'User Inputs'!$F$109*1000*
'User Inputs'!$F$78*
(1-(1-'User Inputs'!$B$74)^'User Inputs'!$D$78),
0),0)</f>
        <v>0</v>
      </c>
      <c r="T34" s="184">
        <f>IFERROR(IF(AND(
'User Inputs'!$B$78="Yes",
OR('User Inputs'!$F$8="Storage",'User Inputs'!$F$8="TIER 1 RE + Storage"),
T$6&gt;0,
T$6&lt;='User Inputs'!$D$74,
'User Inputs'!$D$78&gt;0,
MOD(T$6,'User Inputs'!$D$78)=0),
'User Inputs'!$F$109*1000*
'User Inputs'!$F$78*
(1-(1-'User Inputs'!$B$74)^'User Inputs'!$D$78),
0),0)</f>
        <v>0</v>
      </c>
      <c r="U34" s="184">
        <f>IFERROR(IF(AND(
'User Inputs'!$B$78="Yes",
OR('User Inputs'!$F$8="Storage",'User Inputs'!$F$8="TIER 1 RE + Storage"),
U$6&gt;0,
U$6&lt;='User Inputs'!$D$74,
'User Inputs'!$D$78&gt;0,
MOD(U$6,'User Inputs'!$D$78)=0),
'User Inputs'!$F$109*1000*
'User Inputs'!$F$78*
(1-(1-'User Inputs'!$B$74)^'User Inputs'!$D$78),
0),0)</f>
        <v>0</v>
      </c>
      <c r="V34" s="184">
        <f>IFERROR(IF(AND(
'User Inputs'!$B$78="Yes",
OR('User Inputs'!$F$8="Storage",'User Inputs'!$F$8="TIER 1 RE + Storage"),
V$6&gt;0,
V$6&lt;='User Inputs'!$D$74,
'User Inputs'!$D$78&gt;0,
MOD(V$6,'User Inputs'!$D$78)=0),
'User Inputs'!$F$109*1000*
'User Inputs'!$F$78*
(1-(1-'User Inputs'!$B$74)^'User Inputs'!$D$78),
0),0)</f>
        <v>0</v>
      </c>
      <c r="W34" s="184">
        <f>IFERROR(IF(AND(
'User Inputs'!$B$78="Yes",
OR('User Inputs'!$F$8="Storage",'User Inputs'!$F$8="TIER 1 RE + Storage"),
W$6&gt;0,
W$6&lt;='User Inputs'!$D$74,
'User Inputs'!$D$78&gt;0,
MOD(W$6,'User Inputs'!$D$78)=0),
'User Inputs'!$F$109*1000*
'User Inputs'!$F$78*
(1-(1-'User Inputs'!$B$74)^'User Inputs'!$D$78),
0),0)</f>
        <v>0</v>
      </c>
      <c r="X34" s="184">
        <f>IFERROR(IF(AND(
'User Inputs'!$B$78="Yes",
OR('User Inputs'!$F$8="Storage",'User Inputs'!$F$8="TIER 1 RE + Storage"),
X$6&gt;0,
X$6&lt;='User Inputs'!$D$74,
'User Inputs'!$D$78&gt;0,
MOD(X$6,'User Inputs'!$D$78)=0),
'User Inputs'!$F$109*1000*
'User Inputs'!$F$78*
(1-(1-'User Inputs'!$B$74)^'User Inputs'!$D$78),
0),0)</f>
        <v>0</v>
      </c>
      <c r="Y34" s="184">
        <f>IFERROR(IF(AND(
'User Inputs'!$B$78="Yes",
OR('User Inputs'!$F$8="Storage",'User Inputs'!$F$8="TIER 1 RE + Storage"),
Y$6&gt;0,
Y$6&lt;='User Inputs'!$D$74,
'User Inputs'!$D$78&gt;0,
MOD(Y$6,'User Inputs'!$D$78)=0),
'User Inputs'!$F$109*1000*
'User Inputs'!$F$78*
(1-(1-'User Inputs'!$B$74)^'User Inputs'!$D$78),
0),0)</f>
        <v>0</v>
      </c>
      <c r="Z34" s="184">
        <f>IFERROR(IF(AND(
'User Inputs'!$B$78="Yes",
OR('User Inputs'!$F$8="Storage",'User Inputs'!$F$8="TIER 1 RE + Storage"),
Z$6&gt;0,
Z$6&lt;='User Inputs'!$D$74,
'User Inputs'!$D$78&gt;0,
MOD(Z$6,'User Inputs'!$D$78)=0),
'User Inputs'!$F$109*1000*
'User Inputs'!$F$78*
(1-(1-'User Inputs'!$B$74)^'User Inputs'!$D$78),
0),0)</f>
        <v>0</v>
      </c>
      <c r="AA34" s="184">
        <f>IFERROR(IF(AND(
'User Inputs'!$B$78="Yes",
OR('User Inputs'!$F$8="Storage",'User Inputs'!$F$8="TIER 1 RE + Storage"),
AA$6&gt;0,
AA$6&lt;='User Inputs'!$D$74,
'User Inputs'!$D$78&gt;0,
MOD(AA$6,'User Inputs'!$D$78)=0),
'User Inputs'!$F$109*1000*
'User Inputs'!$F$78*
(1-(1-'User Inputs'!$B$74)^'User Inputs'!$D$78),
0),0)</f>
        <v>0</v>
      </c>
      <c r="AB34" s="184">
        <f>IFERROR(IF(AND(
'User Inputs'!$B$78="Yes",
OR('User Inputs'!$F$8="Storage",'User Inputs'!$F$8="TIER 1 RE + Storage"),
AB$6&gt;0,
AB$6&lt;='User Inputs'!$D$74,
'User Inputs'!$D$78&gt;0,
MOD(AB$6,'User Inputs'!$D$78)=0),
'User Inputs'!$F$109*1000*
'User Inputs'!$F$78*
(1-(1-'User Inputs'!$B$74)^'User Inputs'!$D$78),
0),0)</f>
        <v>0</v>
      </c>
      <c r="AC34" s="184">
        <f>IFERROR(IF(AND(
'User Inputs'!$B$78="Yes",
OR('User Inputs'!$F$8="Storage",'User Inputs'!$F$8="TIER 1 RE + Storage"),
AC$6&gt;0,
AC$6&lt;='User Inputs'!$D$74,
'User Inputs'!$D$78&gt;0,
MOD(AC$6,'User Inputs'!$D$78)=0),
'User Inputs'!$F$109*1000*
'User Inputs'!$F$78*
(1-(1-'User Inputs'!$B$74)^'User Inputs'!$D$78),
0),0)</f>
        <v>0</v>
      </c>
      <c r="AD34" s="184">
        <f>IFERROR(IF(AND(
'User Inputs'!$B$78="Yes",
OR('User Inputs'!$F$8="Storage",'User Inputs'!$F$8="TIER 1 RE + Storage"),
AD$6&gt;0,
AD$6&lt;='User Inputs'!$D$74,
'User Inputs'!$D$78&gt;0,
MOD(AD$6,'User Inputs'!$D$78)=0),
'User Inputs'!$F$109*1000*
'User Inputs'!$F$78*
(1-(1-'User Inputs'!$B$74)^'User Inputs'!$D$78),
0),0)</f>
        <v>0</v>
      </c>
      <c r="AE34" s="184">
        <f>IFERROR(IF(AND(
'User Inputs'!$B$78="Yes",
OR('User Inputs'!$F$8="Storage",'User Inputs'!$F$8="TIER 1 RE + Storage"),
AE$6&gt;0,
AE$6&lt;='User Inputs'!$D$74,
'User Inputs'!$D$78&gt;0,
MOD(AE$6,'User Inputs'!$D$78)=0),
'User Inputs'!$F$109*1000*
'User Inputs'!$F$78*
(1-(1-'User Inputs'!$B$74)^'User Inputs'!$D$78),
0),0)</f>
        <v>0</v>
      </c>
      <c r="AF34" s="184">
        <f>IFERROR(IF(AND(
'User Inputs'!$B$78="Yes",
OR('User Inputs'!$F$8="Storage",'User Inputs'!$F$8="TIER 1 RE + Storage"),
AF$6&gt;0,
AF$6&lt;='User Inputs'!$D$74,
'User Inputs'!$D$78&gt;0,
MOD(AF$6,'User Inputs'!$D$78)=0),
'User Inputs'!$F$109*1000*
'User Inputs'!$F$78*
(1-(1-'User Inputs'!$B$74)^'User Inputs'!$D$78),
0),0)</f>
        <v>0</v>
      </c>
      <c r="AG34" s="184">
        <f>IFERROR(IF(AND(
'User Inputs'!$B$78="Yes",
OR('User Inputs'!$F$8="Storage",'User Inputs'!$F$8="TIER 1 RE + Storage"),
AG$6&gt;0,
AG$6&lt;='User Inputs'!$D$74,
'User Inputs'!$D$78&gt;0,
MOD(AG$6,'User Inputs'!$D$78)=0),
'User Inputs'!$F$109*1000*
'User Inputs'!$F$78*
(1-(1-'User Inputs'!$B$74)^'User Inputs'!$D$78),
0),0)</f>
        <v>0</v>
      </c>
      <c r="AH34" s="184">
        <f>IFERROR(IF(AND(
'User Inputs'!$B$78="Yes",
OR('User Inputs'!$F$8="Storage",'User Inputs'!$F$8="TIER 1 RE + Storage"),
AH$6&gt;0,
AH$6&lt;='User Inputs'!$D$74,
'User Inputs'!$D$78&gt;0,
MOD(AH$6,'User Inputs'!$D$78)=0),
'User Inputs'!$F$109*1000*
'User Inputs'!$F$78*
(1-(1-'User Inputs'!$B$74)^'User Inputs'!$D$78),
0),0)</f>
        <v>0</v>
      </c>
      <c r="AI34" s="184">
        <f>IFERROR(IF(AND(
'User Inputs'!$B$78="Yes",
OR('User Inputs'!$F$8="Storage",'User Inputs'!$F$8="TIER 1 RE + Storage"),
AI$6&gt;0,
AI$6&lt;='User Inputs'!$D$74,
'User Inputs'!$D$78&gt;0,
MOD(AI$6,'User Inputs'!$D$78)=0),
'User Inputs'!$F$109*1000*
'User Inputs'!$F$78*
(1-(1-'User Inputs'!$B$74)^'User Inputs'!$D$78),
0),0)</f>
        <v>0</v>
      </c>
      <c r="AJ34" s="184">
        <f>IFERROR(IF(AND(
'User Inputs'!$B$78="Yes",
OR('User Inputs'!$F$8="Storage",'User Inputs'!$F$8="TIER 1 RE + Storage"),
AJ$6&gt;0,
AJ$6&lt;='User Inputs'!$D$74,
'User Inputs'!$D$78&gt;0,
MOD(AJ$6,'User Inputs'!$D$78)=0),
'User Inputs'!$F$109*1000*
'User Inputs'!$F$78*
(1-(1-'User Inputs'!$B$74)^'User Inputs'!$D$78),
0),0)</f>
        <v>0</v>
      </c>
      <c r="AK34" s="184">
        <f>IFERROR(IF(AND(
'User Inputs'!$B$78="Yes",
OR('User Inputs'!$F$8="Storage",'User Inputs'!$F$8="TIER 1 RE + Storage"),
AK$6&gt;0,
AK$6&lt;='User Inputs'!$D$74,
'User Inputs'!$D$78&gt;0,
MOD(AK$6,'User Inputs'!$D$78)=0),
'User Inputs'!$F$109*1000*
'User Inputs'!$F$78*
(1-(1-'User Inputs'!$B$74)^'User Inputs'!$D$78),
0),0)</f>
        <v>0</v>
      </c>
      <c r="AL34" s="184">
        <f>IFERROR(IF(AND(
'User Inputs'!$B$78="Yes",
OR('User Inputs'!$F$8="Storage",'User Inputs'!$F$8="TIER 1 RE + Storage"),
AL$6&gt;0,
AL$6&lt;='User Inputs'!$D$74,
'User Inputs'!$D$78&gt;0,
MOD(AL$6,'User Inputs'!$D$78)=0),
'User Inputs'!$F$109*1000*
'User Inputs'!$F$78*
(1-(1-'User Inputs'!$B$74)^'User Inputs'!$D$78),
0),0)</f>
        <v>0</v>
      </c>
      <c r="AM34" s="184">
        <f>IFERROR(IF(AND(
'User Inputs'!$B$78="Yes",
OR('User Inputs'!$F$8="Storage",'User Inputs'!$F$8="TIER 1 RE + Storage"),
AM$6&gt;0,
AM$6&lt;='User Inputs'!$D$74,
'User Inputs'!$D$78&gt;0,
MOD(AM$6,'User Inputs'!$D$78)=0),
'User Inputs'!$F$109*1000*
'User Inputs'!$F$78*
(1-(1-'User Inputs'!$B$74)^'User Inputs'!$D$78),
0),0)</f>
        <v>0</v>
      </c>
    </row>
    <row r="35" spans="1:39" s="178" customFormat="1" ht="17.100000000000001" customHeight="1">
      <c r="A35" s="16"/>
      <c r="B35" s="185" t="s">
        <v>368</v>
      </c>
      <c r="C35" s="186">
        <f>0</f>
        <v>0</v>
      </c>
      <c r="D35" s="186">
        <f>0</f>
        <v>0</v>
      </c>
      <c r="E35" s="186">
        <f ca="1">SUM(E28:E34)</f>
        <v>0</v>
      </c>
      <c r="F35" s="186">
        <f t="shared" ref="F35:AM35" ca="1" si="3">SUM(F28:F34)</f>
        <v>0</v>
      </c>
      <c r="G35" s="186">
        <f t="shared" ca="1" si="3"/>
        <v>0</v>
      </c>
      <c r="H35" s="186">
        <f t="shared" ca="1" si="3"/>
        <v>0</v>
      </c>
      <c r="I35" s="186">
        <f t="shared" ca="1" si="3"/>
        <v>0</v>
      </c>
      <c r="J35" s="186">
        <f t="shared" ca="1" si="3"/>
        <v>0</v>
      </c>
      <c r="K35" s="186">
        <f t="shared" ca="1" si="3"/>
        <v>0</v>
      </c>
      <c r="L35" s="186">
        <f t="shared" ca="1" si="3"/>
        <v>0</v>
      </c>
      <c r="M35" s="186">
        <f t="shared" ca="1" si="3"/>
        <v>0</v>
      </c>
      <c r="N35" s="186">
        <f t="shared" ca="1" si="3"/>
        <v>0</v>
      </c>
      <c r="O35" s="186">
        <f t="shared" ca="1" si="3"/>
        <v>0</v>
      </c>
      <c r="P35" s="186">
        <f t="shared" ca="1" si="3"/>
        <v>0</v>
      </c>
      <c r="Q35" s="186">
        <f t="shared" ca="1" si="3"/>
        <v>0</v>
      </c>
      <c r="R35" s="186">
        <f t="shared" ca="1" si="3"/>
        <v>0</v>
      </c>
      <c r="S35" s="186">
        <f t="shared" ca="1" si="3"/>
        <v>0</v>
      </c>
      <c r="T35" s="186">
        <f t="shared" ca="1" si="3"/>
        <v>0</v>
      </c>
      <c r="U35" s="186">
        <f t="shared" ca="1" si="3"/>
        <v>0</v>
      </c>
      <c r="V35" s="186">
        <f t="shared" ca="1" si="3"/>
        <v>0</v>
      </c>
      <c r="W35" s="186">
        <f t="shared" ca="1" si="3"/>
        <v>0</v>
      </c>
      <c r="X35" s="186">
        <f t="shared" ca="1" si="3"/>
        <v>0</v>
      </c>
      <c r="Y35" s="186">
        <f t="shared" ca="1" si="3"/>
        <v>0</v>
      </c>
      <c r="Z35" s="186">
        <f t="shared" ca="1" si="3"/>
        <v>0</v>
      </c>
      <c r="AA35" s="186">
        <f t="shared" ca="1" si="3"/>
        <v>0</v>
      </c>
      <c r="AB35" s="186">
        <f t="shared" ca="1" si="3"/>
        <v>0</v>
      </c>
      <c r="AC35" s="186">
        <f t="shared" ca="1" si="3"/>
        <v>0</v>
      </c>
      <c r="AD35" s="186">
        <f t="shared" ca="1" si="3"/>
        <v>0</v>
      </c>
      <c r="AE35" s="186">
        <f t="shared" ca="1" si="3"/>
        <v>0</v>
      </c>
      <c r="AF35" s="186">
        <f t="shared" ca="1" si="3"/>
        <v>0</v>
      </c>
      <c r="AG35" s="186">
        <f t="shared" ca="1" si="3"/>
        <v>0</v>
      </c>
      <c r="AH35" s="186">
        <f t="shared" ca="1" si="3"/>
        <v>0</v>
      </c>
      <c r="AI35" s="186">
        <f t="shared" ca="1" si="3"/>
        <v>0</v>
      </c>
      <c r="AJ35" s="186">
        <f t="shared" ca="1" si="3"/>
        <v>0</v>
      </c>
      <c r="AK35" s="186">
        <f t="shared" ca="1" si="3"/>
        <v>0</v>
      </c>
      <c r="AL35" s="186">
        <f t="shared" ca="1" si="3"/>
        <v>0</v>
      </c>
      <c r="AM35" s="186">
        <f t="shared" ca="1" si="3"/>
        <v>0</v>
      </c>
    </row>
    <row r="36" spans="1:39" s="178" customFormat="1" ht="17.100000000000001" customHeight="1">
      <c r="A36" s="16"/>
      <c r="B36" s="168" t="s">
        <v>369</v>
      </c>
      <c r="C36" s="187">
        <f>0</f>
        <v>0</v>
      </c>
      <c r="D36" s="187">
        <f>0</f>
        <v>0</v>
      </c>
      <c r="E36" s="187">
        <f t="shared" ref="E36:AM36" ca="1" si="4">E25-E35</f>
        <v>0</v>
      </c>
      <c r="F36" s="187">
        <f t="shared" ca="1" si="4"/>
        <v>0</v>
      </c>
      <c r="G36" s="187">
        <f t="shared" ca="1" si="4"/>
        <v>0</v>
      </c>
      <c r="H36" s="187">
        <f t="shared" ca="1" si="4"/>
        <v>0</v>
      </c>
      <c r="I36" s="187">
        <f t="shared" ca="1" si="4"/>
        <v>0</v>
      </c>
      <c r="J36" s="187">
        <f t="shared" ca="1" si="4"/>
        <v>0</v>
      </c>
      <c r="K36" s="187">
        <f t="shared" ca="1" si="4"/>
        <v>0</v>
      </c>
      <c r="L36" s="187">
        <f t="shared" ca="1" si="4"/>
        <v>0</v>
      </c>
      <c r="M36" s="187">
        <f t="shared" ca="1" si="4"/>
        <v>0</v>
      </c>
      <c r="N36" s="187">
        <f t="shared" ca="1" si="4"/>
        <v>0</v>
      </c>
      <c r="O36" s="187">
        <f t="shared" ca="1" si="4"/>
        <v>0</v>
      </c>
      <c r="P36" s="187">
        <f t="shared" ca="1" si="4"/>
        <v>0</v>
      </c>
      <c r="Q36" s="187">
        <f t="shared" ca="1" si="4"/>
        <v>0</v>
      </c>
      <c r="R36" s="187">
        <f t="shared" ca="1" si="4"/>
        <v>0</v>
      </c>
      <c r="S36" s="187">
        <f t="shared" ca="1" si="4"/>
        <v>0</v>
      </c>
      <c r="T36" s="187">
        <f t="shared" ca="1" si="4"/>
        <v>0</v>
      </c>
      <c r="U36" s="187">
        <f t="shared" ca="1" si="4"/>
        <v>0</v>
      </c>
      <c r="V36" s="187">
        <f t="shared" ca="1" si="4"/>
        <v>0</v>
      </c>
      <c r="W36" s="187">
        <f t="shared" ca="1" si="4"/>
        <v>0</v>
      </c>
      <c r="X36" s="187">
        <f t="shared" ca="1" si="4"/>
        <v>0</v>
      </c>
      <c r="Y36" s="187">
        <f t="shared" ca="1" si="4"/>
        <v>0</v>
      </c>
      <c r="Z36" s="187">
        <f t="shared" ca="1" si="4"/>
        <v>0</v>
      </c>
      <c r="AA36" s="187">
        <f t="shared" ca="1" si="4"/>
        <v>0</v>
      </c>
      <c r="AB36" s="187">
        <f t="shared" ca="1" si="4"/>
        <v>0</v>
      </c>
      <c r="AC36" s="187">
        <f t="shared" ca="1" si="4"/>
        <v>0</v>
      </c>
      <c r="AD36" s="187">
        <f t="shared" ca="1" si="4"/>
        <v>0</v>
      </c>
      <c r="AE36" s="187">
        <f t="shared" ca="1" si="4"/>
        <v>0</v>
      </c>
      <c r="AF36" s="187">
        <f t="shared" ca="1" si="4"/>
        <v>0</v>
      </c>
      <c r="AG36" s="187">
        <f t="shared" ca="1" si="4"/>
        <v>0</v>
      </c>
      <c r="AH36" s="187">
        <f t="shared" ca="1" si="4"/>
        <v>0</v>
      </c>
      <c r="AI36" s="187">
        <f t="shared" ca="1" si="4"/>
        <v>0</v>
      </c>
      <c r="AJ36" s="187">
        <f t="shared" ca="1" si="4"/>
        <v>0</v>
      </c>
      <c r="AK36" s="187">
        <f t="shared" ca="1" si="4"/>
        <v>0</v>
      </c>
      <c r="AL36" s="187">
        <f t="shared" ca="1" si="4"/>
        <v>0</v>
      </c>
      <c r="AM36" s="187">
        <f t="shared" ca="1" si="4"/>
        <v>0</v>
      </c>
    </row>
    <row r="37" spans="1:39" ht="23.45">
      <c r="A37" s="16"/>
      <c r="B37" s="167"/>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row>
    <row r="38" spans="1:39" ht="22.35" customHeight="1">
      <c r="A38" s="16"/>
      <c r="B38" s="174" t="s">
        <v>370</v>
      </c>
      <c r="C38" s="175"/>
      <c r="D38" s="175"/>
      <c r="E38" s="175"/>
      <c r="F38" s="175"/>
      <c r="G38" s="175"/>
      <c r="H38" s="175"/>
      <c r="I38" s="175"/>
      <c r="J38" s="175"/>
      <c r="K38" s="175"/>
      <c r="L38" s="175"/>
      <c r="M38" s="175"/>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row>
    <row r="39" spans="1:39" s="178" customFormat="1" ht="17.100000000000001" customHeight="1">
      <c r="A39" s="16"/>
      <c r="B39" s="182" t="s">
        <v>371</v>
      </c>
      <c r="C39" s="180">
        <f>0</f>
        <v>0</v>
      </c>
      <c r="D39" s="180">
        <f>0</f>
        <v>0</v>
      </c>
      <c r="E39" s="180">
        <f ca="1">IF(E$6&gt;'User Inputs'!$F$19,0,'User Inputs'!$H$111*IF('User Inputs'!$D$97="Straight-line",1/'User Inputs'!$F$19,IF(E$6&lt;=6,CHOOSE(E$6,0.2,0.32,0.192,0.1152,0.1152,0.0576),0)))</f>
        <v>0</v>
      </c>
      <c r="F39" s="180">
        <f ca="1">IF(F$6&gt;'User Inputs'!$F$19,0,'User Inputs'!$H$111*IF('User Inputs'!$D$97="Straight-line",1/'User Inputs'!$F$19,IF(F$6&lt;=6,CHOOSE(F$6,0.2,0.32,0.192,0.1152,0.1152,0.0576),0)))</f>
        <v>0</v>
      </c>
      <c r="G39" s="180">
        <f ca="1">IF(G$6&gt;'User Inputs'!$F$19,0,'User Inputs'!$H$111*IF('User Inputs'!$D$97="Straight-line",1/'User Inputs'!$F$19,IF(G$6&lt;=6,CHOOSE(G$6,0.2,0.32,0.192,0.1152,0.1152,0.0576),0)))</f>
        <v>0</v>
      </c>
      <c r="H39" s="180">
        <f ca="1">IF(H$6&gt;'User Inputs'!$F$19,0,'User Inputs'!$H$111*IF('User Inputs'!$D$97="Straight-line",1/'User Inputs'!$F$19,IF(H$6&lt;=6,CHOOSE(H$6,0.2,0.32,0.192,0.1152,0.1152,0.0576),0)))</f>
        <v>0</v>
      </c>
      <c r="I39" s="180">
        <f ca="1">IF(I$6&gt;'User Inputs'!$F$19,0,'User Inputs'!$H$111*IF('User Inputs'!$D$97="Straight-line",1/'User Inputs'!$F$19,IF(I$6&lt;=6,CHOOSE(I$6,0.2,0.32,0.192,0.1152,0.1152,0.0576),0)))</f>
        <v>0</v>
      </c>
      <c r="J39" s="180">
        <f ca="1">IF(J$6&gt;'User Inputs'!$F$19,0,'User Inputs'!$H$111*IF('User Inputs'!$D$97="Straight-line",1/'User Inputs'!$F$19,IF(J$6&lt;=6,CHOOSE(J$6,0.2,0.32,0.192,0.1152,0.1152,0.0576),0)))</f>
        <v>0</v>
      </c>
      <c r="K39" s="180">
        <f ca="1">IF(K$6&gt;'User Inputs'!$F$19,0,'User Inputs'!$H$111*IF('User Inputs'!$D$97="Straight-line",1/'User Inputs'!$F$19,IF(K$6&lt;=6,CHOOSE(K$6,0.2,0.32,0.192,0.1152,0.1152,0.0576),0)))</f>
        <v>0</v>
      </c>
      <c r="L39" s="180">
        <f ca="1">IF(L$6&gt;'User Inputs'!$F$19,0,'User Inputs'!$H$111*IF('User Inputs'!$D$97="Straight-line",1/'User Inputs'!$F$19,IF(L$6&lt;=6,CHOOSE(L$6,0.2,0.32,0.192,0.1152,0.1152,0.0576),0)))</f>
        <v>0</v>
      </c>
      <c r="M39" s="180">
        <f ca="1">IF(M$6&gt;'User Inputs'!$F$19,0,'User Inputs'!$H$111*IF('User Inputs'!$D$97="Straight-line",1/'User Inputs'!$F$19,IF(M$6&lt;=6,CHOOSE(M$6,0.2,0.32,0.192,0.1152,0.1152,0.0576),0)))</f>
        <v>0</v>
      </c>
      <c r="N39" s="180">
        <f ca="1">IF(N$6&gt;'User Inputs'!$F$19,0,'User Inputs'!$H$111*IF('User Inputs'!$D$97="Straight-line",1/'User Inputs'!$F$19,IF(N$6&lt;=6,CHOOSE(N$6,0.2,0.32,0.192,0.1152,0.1152,0.0576),0)))</f>
        <v>0</v>
      </c>
      <c r="O39" s="180">
        <f ca="1">IF(O$6&gt;'User Inputs'!$F$19,0,'User Inputs'!$H$111*IF('User Inputs'!$D$97="Straight-line",1/'User Inputs'!$F$19,IF(O$6&lt;=6,CHOOSE(O$6,0.2,0.32,0.192,0.1152,0.1152,0.0576),0)))</f>
        <v>0</v>
      </c>
      <c r="P39" s="180">
        <f ca="1">IF(P$6&gt;'User Inputs'!$F$19,0,'User Inputs'!$H$111*IF('User Inputs'!$D$97="Straight-line",1/'User Inputs'!$F$19,IF(P$6&lt;=6,CHOOSE(P$6,0.2,0.32,0.192,0.1152,0.1152,0.0576),0)))</f>
        <v>0</v>
      </c>
      <c r="Q39" s="180">
        <f ca="1">IF(Q$6&gt;'User Inputs'!$F$19,0,'User Inputs'!$H$111*IF('User Inputs'!$D$97="Straight-line",1/'User Inputs'!$F$19,IF(Q$6&lt;=6,CHOOSE(Q$6,0.2,0.32,0.192,0.1152,0.1152,0.0576),0)))</f>
        <v>0</v>
      </c>
      <c r="R39" s="180">
        <f ca="1">IF(R$6&gt;'User Inputs'!$F$19,0,'User Inputs'!$H$111*IF('User Inputs'!$D$97="Straight-line",1/'User Inputs'!$F$19,IF(R$6&lt;=6,CHOOSE(R$6,0.2,0.32,0.192,0.1152,0.1152,0.0576),0)))</f>
        <v>0</v>
      </c>
      <c r="S39" s="180">
        <f ca="1">IF(S$6&gt;'User Inputs'!$F$19,0,'User Inputs'!$H$111*IF('User Inputs'!$D$97="Straight-line",1/'User Inputs'!$F$19,IF(S$6&lt;=6,CHOOSE(S$6,0.2,0.32,0.192,0.1152,0.1152,0.0576),0)))</f>
        <v>0</v>
      </c>
      <c r="T39" s="180">
        <f ca="1">IF(T$6&gt;'User Inputs'!$F$19,0,'User Inputs'!$H$111*IF('User Inputs'!$D$97="Straight-line",1/'User Inputs'!$F$19,IF(T$6&lt;=6,CHOOSE(T$6,0.2,0.32,0.192,0.1152,0.1152,0.0576),0)))</f>
        <v>0</v>
      </c>
      <c r="U39" s="180">
        <f ca="1">IF(U$6&gt;'User Inputs'!$F$19,0,'User Inputs'!$H$111*IF('User Inputs'!$D$97="Straight-line",1/'User Inputs'!$F$19,IF(U$6&lt;=6,CHOOSE(U$6,0.2,0.32,0.192,0.1152,0.1152,0.0576),0)))</f>
        <v>0</v>
      </c>
      <c r="V39" s="180">
        <f ca="1">IF(V$6&gt;'User Inputs'!$F$19,0,'User Inputs'!$H$111*IF('User Inputs'!$D$97="Straight-line",1/'User Inputs'!$F$19,IF(V$6&lt;=6,CHOOSE(V$6,0.2,0.32,0.192,0.1152,0.1152,0.0576),0)))</f>
        <v>0</v>
      </c>
      <c r="W39" s="180">
        <f ca="1">IF(W$6&gt;'User Inputs'!$F$19,0,'User Inputs'!$H$111*IF('User Inputs'!$D$97="Straight-line",1/'User Inputs'!$F$19,IF(W$6&lt;=6,CHOOSE(W$6,0.2,0.32,0.192,0.1152,0.1152,0.0576),0)))</f>
        <v>0</v>
      </c>
      <c r="X39" s="180">
        <f ca="1">IF(X$6&gt;'User Inputs'!$F$19,0,'User Inputs'!$H$111*IF('User Inputs'!$D$97="Straight-line",1/'User Inputs'!$F$19,IF(X$6&lt;=6,CHOOSE(X$6,0.2,0.32,0.192,0.1152,0.1152,0.0576),0)))</f>
        <v>0</v>
      </c>
      <c r="Y39" s="180">
        <f ca="1">IF(Y$6&gt;'User Inputs'!$F$19,0,'User Inputs'!$H$111*IF('User Inputs'!$D$97="Straight-line",1/'User Inputs'!$F$19,IF(Y$6&lt;=6,CHOOSE(Y$6,0.2,0.32,0.192,0.1152,0.1152,0.0576),0)))</f>
        <v>0</v>
      </c>
      <c r="Z39" s="180">
        <f ca="1">IF(Z$6&gt;'User Inputs'!$F$19,0,'User Inputs'!$H$111*IF('User Inputs'!$D$97="Straight-line",1/'User Inputs'!$F$19,IF(Z$6&lt;=6,CHOOSE(Z$6,0.2,0.32,0.192,0.1152,0.1152,0.0576),0)))</f>
        <v>0</v>
      </c>
      <c r="AA39" s="180">
        <f ca="1">IF(AA$6&gt;'User Inputs'!$F$19,0,'User Inputs'!$H$111*IF('User Inputs'!$D$97="Straight-line",1/'User Inputs'!$F$19,IF(AA$6&lt;=6,CHOOSE(AA$6,0.2,0.32,0.192,0.1152,0.1152,0.0576),0)))</f>
        <v>0</v>
      </c>
      <c r="AB39" s="180">
        <f ca="1">IF(AB$6&gt;'User Inputs'!$F$19,0,'User Inputs'!$H$111*IF('User Inputs'!$D$97="Straight-line",1/'User Inputs'!$F$19,IF(AB$6&lt;=6,CHOOSE(AB$6,0.2,0.32,0.192,0.1152,0.1152,0.0576),0)))</f>
        <v>0</v>
      </c>
      <c r="AC39" s="180">
        <f ca="1">IF(AC$6&gt;'User Inputs'!$F$19,0,'User Inputs'!$H$111*IF('User Inputs'!$D$97="Straight-line",1/'User Inputs'!$F$19,IF(AC$6&lt;=6,CHOOSE(AC$6,0.2,0.32,0.192,0.1152,0.1152,0.0576),0)))</f>
        <v>0</v>
      </c>
      <c r="AD39" s="180">
        <f ca="1">IF(AD$6&gt;'User Inputs'!$F$19,0,'User Inputs'!$H$111*IF('User Inputs'!$D$97="Straight-line",1/'User Inputs'!$F$19,IF(AD$6&lt;=6,CHOOSE(AD$6,0.2,0.32,0.192,0.1152,0.1152,0.0576),0)))</f>
        <v>0</v>
      </c>
      <c r="AE39" s="180">
        <f ca="1">IF(AE$6&gt;'User Inputs'!$F$19,0,'User Inputs'!$H$111*IF('User Inputs'!$D$97="Straight-line",1/'User Inputs'!$F$19,IF(AE$6&lt;=6,CHOOSE(AE$6,0.2,0.32,0.192,0.1152,0.1152,0.0576),0)))</f>
        <v>0</v>
      </c>
      <c r="AF39" s="180">
        <f ca="1">IF(AF$6&gt;'User Inputs'!$F$19,0,'User Inputs'!$H$111*IF('User Inputs'!$D$97="Straight-line",1/'User Inputs'!$F$19,IF(AF$6&lt;=6,CHOOSE(AF$6,0.2,0.32,0.192,0.1152,0.1152,0.0576),0)))</f>
        <v>0</v>
      </c>
      <c r="AG39" s="180">
        <f ca="1">IF(AG$6&gt;'User Inputs'!$F$19,0,'User Inputs'!$H$111*IF('User Inputs'!$D$97="Straight-line",1/'User Inputs'!$F$19,IF(AG$6&lt;=6,CHOOSE(AG$6,0.2,0.32,0.192,0.1152,0.1152,0.0576),0)))</f>
        <v>0</v>
      </c>
      <c r="AH39" s="180">
        <f ca="1">IF(AH$6&gt;'User Inputs'!$F$19,0,'User Inputs'!$H$111*IF('User Inputs'!$D$97="Straight-line",1/'User Inputs'!$F$19,IF(AH$6&lt;=6,CHOOSE(AH$6,0.2,0.32,0.192,0.1152,0.1152,0.0576),0)))</f>
        <v>0</v>
      </c>
      <c r="AI39" s="180">
        <f ca="1">IF(AI$6&gt;'User Inputs'!$F$19,0,'User Inputs'!$H$111*IF('User Inputs'!$D$97="Straight-line",1/'User Inputs'!$F$19,IF(AI$6&lt;=6,CHOOSE(AI$6,0.2,0.32,0.192,0.1152,0.1152,0.0576),0)))</f>
        <v>0</v>
      </c>
      <c r="AJ39" s="180">
        <f ca="1">IF(AJ$6&gt;'User Inputs'!$F$19,0,'User Inputs'!$H$111*IF('User Inputs'!$D$97="Straight-line",1/'User Inputs'!$F$19,IF(AJ$6&lt;=6,CHOOSE(AJ$6,0.2,0.32,0.192,0.1152,0.1152,0.0576),0)))</f>
        <v>0</v>
      </c>
      <c r="AK39" s="180">
        <f ca="1">IF(AK$6&gt;'User Inputs'!$F$19,0,'User Inputs'!$H$111*IF('User Inputs'!$D$97="Straight-line",1/'User Inputs'!$F$19,IF(AK$6&lt;=6,CHOOSE(AK$6,0.2,0.32,0.192,0.1152,0.1152,0.0576),0)))</f>
        <v>0</v>
      </c>
      <c r="AL39" s="180">
        <f ca="1">IF(AL$6&gt;'User Inputs'!$F$19,0,'User Inputs'!$H$111*IF('User Inputs'!$D$97="Straight-line",1/'User Inputs'!$F$19,IF(AL$6&lt;=6,CHOOSE(AL$6,0.2,0.32,0.192,0.1152,0.1152,0.0576),0)))</f>
        <v>0</v>
      </c>
      <c r="AM39" s="180">
        <f ca="1">IF(AM$6&gt;'User Inputs'!$F$19,0,'User Inputs'!$H$111*IF('User Inputs'!$D$97="Straight-line",1/'User Inputs'!$F$19,IF(AM$6&lt;=6,CHOOSE(AM$6,0.2,0.32,0.192,0.1152,0.1152,0.0576),0)))</f>
        <v>0</v>
      </c>
    </row>
    <row r="40" spans="1:39" s="178" customFormat="1" ht="17.100000000000001" customHeight="1">
      <c r="A40" s="16"/>
      <c r="B40" s="182" t="s">
        <v>372</v>
      </c>
      <c r="C40" s="180">
        <f>0</f>
        <v>0</v>
      </c>
      <c r="D40" s="180">
        <f>0</f>
        <v>0</v>
      </c>
      <c r="E40" s="180">
        <f ca="1">E39</f>
        <v>0</v>
      </c>
      <c r="F40" s="180">
        <f t="shared" ref="F40:AM40" ca="1" si="5">F39</f>
        <v>0</v>
      </c>
      <c r="G40" s="180">
        <f t="shared" ca="1" si="5"/>
        <v>0</v>
      </c>
      <c r="H40" s="180">
        <f t="shared" ca="1" si="5"/>
        <v>0</v>
      </c>
      <c r="I40" s="180">
        <f t="shared" ca="1" si="5"/>
        <v>0</v>
      </c>
      <c r="J40" s="180">
        <f t="shared" ca="1" si="5"/>
        <v>0</v>
      </c>
      <c r="K40" s="180">
        <f t="shared" ca="1" si="5"/>
        <v>0</v>
      </c>
      <c r="L40" s="180">
        <f t="shared" ca="1" si="5"/>
        <v>0</v>
      </c>
      <c r="M40" s="180">
        <f t="shared" ca="1" si="5"/>
        <v>0</v>
      </c>
      <c r="N40" s="180">
        <f t="shared" ca="1" si="5"/>
        <v>0</v>
      </c>
      <c r="O40" s="180">
        <f t="shared" ca="1" si="5"/>
        <v>0</v>
      </c>
      <c r="P40" s="180">
        <f t="shared" ca="1" si="5"/>
        <v>0</v>
      </c>
      <c r="Q40" s="180">
        <f t="shared" ca="1" si="5"/>
        <v>0</v>
      </c>
      <c r="R40" s="180">
        <f t="shared" ca="1" si="5"/>
        <v>0</v>
      </c>
      <c r="S40" s="180">
        <f t="shared" ca="1" si="5"/>
        <v>0</v>
      </c>
      <c r="T40" s="180">
        <f t="shared" ca="1" si="5"/>
        <v>0</v>
      </c>
      <c r="U40" s="180">
        <f t="shared" ca="1" si="5"/>
        <v>0</v>
      </c>
      <c r="V40" s="180">
        <f t="shared" ca="1" si="5"/>
        <v>0</v>
      </c>
      <c r="W40" s="180">
        <f t="shared" ca="1" si="5"/>
        <v>0</v>
      </c>
      <c r="X40" s="180">
        <f t="shared" ca="1" si="5"/>
        <v>0</v>
      </c>
      <c r="Y40" s="180">
        <f t="shared" ca="1" si="5"/>
        <v>0</v>
      </c>
      <c r="Z40" s="180">
        <f t="shared" ca="1" si="5"/>
        <v>0</v>
      </c>
      <c r="AA40" s="180">
        <f t="shared" ca="1" si="5"/>
        <v>0</v>
      </c>
      <c r="AB40" s="180">
        <f t="shared" ca="1" si="5"/>
        <v>0</v>
      </c>
      <c r="AC40" s="180">
        <f t="shared" ca="1" si="5"/>
        <v>0</v>
      </c>
      <c r="AD40" s="180">
        <f t="shared" ca="1" si="5"/>
        <v>0</v>
      </c>
      <c r="AE40" s="180">
        <f t="shared" ca="1" si="5"/>
        <v>0</v>
      </c>
      <c r="AF40" s="180">
        <f t="shared" ca="1" si="5"/>
        <v>0</v>
      </c>
      <c r="AG40" s="180">
        <f t="shared" ca="1" si="5"/>
        <v>0</v>
      </c>
      <c r="AH40" s="180">
        <f t="shared" ca="1" si="5"/>
        <v>0</v>
      </c>
      <c r="AI40" s="180">
        <f t="shared" ca="1" si="5"/>
        <v>0</v>
      </c>
      <c r="AJ40" s="180">
        <f t="shared" ca="1" si="5"/>
        <v>0</v>
      </c>
      <c r="AK40" s="180">
        <f t="shared" ca="1" si="5"/>
        <v>0</v>
      </c>
      <c r="AL40" s="180">
        <f t="shared" ca="1" si="5"/>
        <v>0</v>
      </c>
      <c r="AM40" s="180">
        <f t="shared" ca="1" si="5"/>
        <v>0</v>
      </c>
    </row>
    <row r="41" spans="1:39" s="178" customFormat="1" ht="17.100000000000001" customHeight="1">
      <c r="A41" s="16"/>
      <c r="B41" s="182" t="s">
        <v>373</v>
      </c>
      <c r="C41" s="180">
        <f>'User Inputs'!$B$113</f>
        <v>0</v>
      </c>
      <c r="D41" s="180">
        <f>C41</f>
        <v>0</v>
      </c>
      <c r="E41" s="180">
        <f>C45</f>
        <v>0</v>
      </c>
      <c r="F41" s="180">
        <f t="shared" ref="F41:AM41" si="6">E45</f>
        <v>0</v>
      </c>
      <c r="G41" s="180">
        <f t="shared" si="6"/>
        <v>0</v>
      </c>
      <c r="H41" s="180">
        <f t="shared" si="6"/>
        <v>0</v>
      </c>
      <c r="I41" s="180">
        <f t="shared" si="6"/>
        <v>0</v>
      </c>
      <c r="J41" s="180">
        <f t="shared" si="6"/>
        <v>0</v>
      </c>
      <c r="K41" s="180">
        <f t="shared" si="6"/>
        <v>0</v>
      </c>
      <c r="L41" s="180">
        <f t="shared" si="6"/>
        <v>0</v>
      </c>
      <c r="M41" s="180">
        <f t="shared" si="6"/>
        <v>0</v>
      </c>
      <c r="N41" s="180">
        <f t="shared" si="6"/>
        <v>0</v>
      </c>
      <c r="O41" s="180">
        <f t="shared" si="6"/>
        <v>0</v>
      </c>
      <c r="P41" s="180">
        <f t="shared" si="6"/>
        <v>0</v>
      </c>
      <c r="Q41" s="180">
        <f t="shared" si="6"/>
        <v>0</v>
      </c>
      <c r="R41" s="180">
        <f t="shared" si="6"/>
        <v>0</v>
      </c>
      <c r="S41" s="180">
        <f t="shared" si="6"/>
        <v>0</v>
      </c>
      <c r="T41" s="180">
        <f t="shared" si="6"/>
        <v>0</v>
      </c>
      <c r="U41" s="180">
        <f t="shared" si="6"/>
        <v>0</v>
      </c>
      <c r="V41" s="180">
        <f t="shared" si="6"/>
        <v>0</v>
      </c>
      <c r="W41" s="180">
        <f t="shared" si="6"/>
        <v>0</v>
      </c>
      <c r="X41" s="180">
        <f t="shared" si="6"/>
        <v>0</v>
      </c>
      <c r="Y41" s="180">
        <f t="shared" si="6"/>
        <v>0</v>
      </c>
      <c r="Z41" s="180">
        <f t="shared" si="6"/>
        <v>0</v>
      </c>
      <c r="AA41" s="180">
        <f t="shared" si="6"/>
        <v>0</v>
      </c>
      <c r="AB41" s="180">
        <f t="shared" si="6"/>
        <v>0</v>
      </c>
      <c r="AC41" s="180">
        <f t="shared" si="6"/>
        <v>0</v>
      </c>
      <c r="AD41" s="180">
        <f t="shared" si="6"/>
        <v>0</v>
      </c>
      <c r="AE41" s="180">
        <f t="shared" si="6"/>
        <v>0</v>
      </c>
      <c r="AF41" s="180">
        <f t="shared" si="6"/>
        <v>0</v>
      </c>
      <c r="AG41" s="180">
        <f t="shared" si="6"/>
        <v>0</v>
      </c>
      <c r="AH41" s="180">
        <f t="shared" si="6"/>
        <v>0</v>
      </c>
      <c r="AI41" s="180">
        <f t="shared" si="6"/>
        <v>0</v>
      </c>
      <c r="AJ41" s="180">
        <f t="shared" si="6"/>
        <v>0</v>
      </c>
      <c r="AK41" s="180">
        <f t="shared" si="6"/>
        <v>0</v>
      </c>
      <c r="AL41" s="180">
        <f t="shared" si="6"/>
        <v>0</v>
      </c>
      <c r="AM41" s="180">
        <f t="shared" si="6"/>
        <v>0</v>
      </c>
    </row>
    <row r="42" spans="1:39" s="178" customFormat="1" ht="17.100000000000001" customHeight="1">
      <c r="A42" s="16"/>
      <c r="B42" s="182" t="s">
        <v>374</v>
      </c>
      <c r="C42" s="180">
        <f>0</f>
        <v>0</v>
      </c>
      <c r="D42" s="180">
        <f>0</f>
        <v>0</v>
      </c>
      <c r="E42" s="180">
        <f>IF(E$6&lt;='User Inputs'!$B$99,E41*'User Inputs'!$H$97,0)</f>
        <v>0</v>
      </c>
      <c r="F42" s="180">
        <f>IF(F$6&lt;='User Inputs'!$B$99,F41*'User Inputs'!$H$97,0)</f>
        <v>0</v>
      </c>
      <c r="G42" s="180">
        <f>IF(G$6&lt;='User Inputs'!$B$99,G41*'User Inputs'!$H$97,0)</f>
        <v>0</v>
      </c>
      <c r="H42" s="180">
        <f>IF(H$6&lt;='User Inputs'!$B$99,H41*'User Inputs'!$H$97,0)</f>
        <v>0</v>
      </c>
      <c r="I42" s="180">
        <f>IF(I$6&lt;='User Inputs'!$B$99,I41*'User Inputs'!$H$97,0)</f>
        <v>0</v>
      </c>
      <c r="J42" s="180">
        <f>IF(J$6&lt;='User Inputs'!$B$99,J41*'User Inputs'!$H$97,0)</f>
        <v>0</v>
      </c>
      <c r="K42" s="180">
        <f>IF(K$6&lt;='User Inputs'!$B$99,K41*'User Inputs'!$H$97,0)</f>
        <v>0</v>
      </c>
      <c r="L42" s="180">
        <f>IF(L$6&lt;='User Inputs'!$B$99,L41*'User Inputs'!$H$97,0)</f>
        <v>0</v>
      </c>
      <c r="M42" s="180">
        <f>IF(M$6&lt;='User Inputs'!$B$99,M41*'User Inputs'!$H$97,0)</f>
        <v>0</v>
      </c>
      <c r="N42" s="180">
        <f>IF(N$6&lt;='User Inputs'!$B$99,N41*'User Inputs'!$H$97,0)</f>
        <v>0</v>
      </c>
      <c r="O42" s="180">
        <f>IF(O$6&lt;='User Inputs'!$B$99,O41*'User Inputs'!$H$97,0)</f>
        <v>0</v>
      </c>
      <c r="P42" s="180">
        <f>IF(P$6&lt;='User Inputs'!$B$99,P41*'User Inputs'!$H$97,0)</f>
        <v>0</v>
      </c>
      <c r="Q42" s="180">
        <f>IF(Q$6&lt;='User Inputs'!$B$99,Q41*'User Inputs'!$H$97,0)</f>
        <v>0</v>
      </c>
      <c r="R42" s="180">
        <f>IF(R$6&lt;='User Inputs'!$B$99,R41*'User Inputs'!$H$97,0)</f>
        <v>0</v>
      </c>
      <c r="S42" s="180">
        <f>IF(S$6&lt;='User Inputs'!$B$99,S41*'User Inputs'!$H$97,0)</f>
        <v>0</v>
      </c>
      <c r="T42" s="180">
        <f>IF(T$6&lt;='User Inputs'!$B$99,T41*'User Inputs'!$H$97,0)</f>
        <v>0</v>
      </c>
      <c r="U42" s="180">
        <f>IF(U$6&lt;='User Inputs'!$B$99,U41*'User Inputs'!$H$97,0)</f>
        <v>0</v>
      </c>
      <c r="V42" s="180">
        <f>IF(V$6&lt;='User Inputs'!$B$99,V41*'User Inputs'!$H$97,0)</f>
        <v>0</v>
      </c>
      <c r="W42" s="180">
        <f>IF(W$6&lt;='User Inputs'!$B$99,W41*'User Inputs'!$H$97,0)</f>
        <v>0</v>
      </c>
      <c r="X42" s="180">
        <f>IF(X$6&lt;='User Inputs'!$B$99,X41*'User Inputs'!$H$97,0)</f>
        <v>0</v>
      </c>
      <c r="Y42" s="180">
        <f>IF(Y$6&lt;='User Inputs'!$B$99,Y41*'User Inputs'!$H$97,0)</f>
        <v>0</v>
      </c>
      <c r="Z42" s="180">
        <f>IF(Z$6&lt;='User Inputs'!$B$99,Z41*'User Inputs'!$H$97,0)</f>
        <v>0</v>
      </c>
      <c r="AA42" s="180">
        <f>IF(AA$6&lt;='User Inputs'!$B$99,AA41*'User Inputs'!$H$97,0)</f>
        <v>0</v>
      </c>
      <c r="AB42" s="180">
        <f>IF(AB$6&lt;='User Inputs'!$B$99,AB41*'User Inputs'!$H$97,0)</f>
        <v>0</v>
      </c>
      <c r="AC42" s="180">
        <f>IF(AC$6&lt;='User Inputs'!$B$99,AC41*'User Inputs'!$H$97,0)</f>
        <v>0</v>
      </c>
      <c r="AD42" s="180">
        <f>IF(AD$6&lt;='User Inputs'!$B$99,AD41*'User Inputs'!$H$97,0)</f>
        <v>0</v>
      </c>
      <c r="AE42" s="180">
        <f>IF(AE$6&lt;='User Inputs'!$B$99,AE41*'User Inputs'!$H$97,0)</f>
        <v>0</v>
      </c>
      <c r="AF42" s="180">
        <f>IF(AF$6&lt;='User Inputs'!$B$99,AF41*'User Inputs'!$H$97,0)</f>
        <v>0</v>
      </c>
      <c r="AG42" s="180">
        <f>IF(AG$6&lt;='User Inputs'!$B$99,AG41*'User Inputs'!$H$97,0)</f>
        <v>0</v>
      </c>
      <c r="AH42" s="180">
        <f>IF(AH$6&lt;='User Inputs'!$B$99,AH41*'User Inputs'!$H$97,0)</f>
        <v>0</v>
      </c>
      <c r="AI42" s="180">
        <f>IF(AI$6&lt;='User Inputs'!$B$99,AI41*'User Inputs'!$H$97,0)</f>
        <v>0</v>
      </c>
      <c r="AJ42" s="180">
        <f>IF(AJ$6&lt;='User Inputs'!$B$99,AJ41*'User Inputs'!$H$97,0)</f>
        <v>0</v>
      </c>
      <c r="AK42" s="180">
        <f>IF(AK$6&lt;='User Inputs'!$B$99,AK41*'User Inputs'!$H$97,0)</f>
        <v>0</v>
      </c>
      <c r="AL42" s="180">
        <f>IF(AL$6&lt;='User Inputs'!$B$99,AL41*'User Inputs'!$H$97,0)</f>
        <v>0</v>
      </c>
      <c r="AM42" s="180">
        <f>IF(AM$6&lt;='User Inputs'!$B$99,AM41*'User Inputs'!$H$97,0)</f>
        <v>0</v>
      </c>
    </row>
    <row r="43" spans="1:39" s="178" customFormat="1" ht="17.100000000000001" customHeight="1">
      <c r="A43" s="16"/>
      <c r="B43" s="182" t="s">
        <v>375</v>
      </c>
      <c r="C43" s="180">
        <f>0</f>
        <v>0</v>
      </c>
      <c r="D43" s="180">
        <f>0</f>
        <v>0</v>
      </c>
      <c r="E43" s="180">
        <f>MAX(0,E44-E42)</f>
        <v>0</v>
      </c>
      <c r="F43" s="180">
        <f t="shared" ref="F43:AM43" si="7">MAX(0,F44-F42)</f>
        <v>0</v>
      </c>
      <c r="G43" s="180">
        <f t="shared" si="7"/>
        <v>0</v>
      </c>
      <c r="H43" s="180">
        <f t="shared" si="7"/>
        <v>0</v>
      </c>
      <c r="I43" s="180">
        <f t="shared" si="7"/>
        <v>0</v>
      </c>
      <c r="J43" s="180">
        <f t="shared" si="7"/>
        <v>0</v>
      </c>
      <c r="K43" s="180">
        <f t="shared" si="7"/>
        <v>0</v>
      </c>
      <c r="L43" s="180">
        <f t="shared" si="7"/>
        <v>0</v>
      </c>
      <c r="M43" s="180">
        <f t="shared" si="7"/>
        <v>0</v>
      </c>
      <c r="N43" s="180">
        <f t="shared" si="7"/>
        <v>0</v>
      </c>
      <c r="O43" s="180">
        <f t="shared" si="7"/>
        <v>0</v>
      </c>
      <c r="P43" s="180">
        <f t="shared" si="7"/>
        <v>0</v>
      </c>
      <c r="Q43" s="180">
        <f t="shared" si="7"/>
        <v>0</v>
      </c>
      <c r="R43" s="180">
        <f t="shared" si="7"/>
        <v>0</v>
      </c>
      <c r="S43" s="180">
        <f t="shared" si="7"/>
        <v>0</v>
      </c>
      <c r="T43" s="180">
        <f t="shared" si="7"/>
        <v>0</v>
      </c>
      <c r="U43" s="180">
        <f t="shared" si="7"/>
        <v>0</v>
      </c>
      <c r="V43" s="180">
        <f t="shared" si="7"/>
        <v>0</v>
      </c>
      <c r="W43" s="180">
        <f t="shared" si="7"/>
        <v>0</v>
      </c>
      <c r="X43" s="180">
        <f t="shared" si="7"/>
        <v>0</v>
      </c>
      <c r="Y43" s="180">
        <f t="shared" si="7"/>
        <v>0</v>
      </c>
      <c r="Z43" s="180">
        <f t="shared" si="7"/>
        <v>0</v>
      </c>
      <c r="AA43" s="180">
        <f t="shared" si="7"/>
        <v>0</v>
      </c>
      <c r="AB43" s="180">
        <f t="shared" si="7"/>
        <v>0</v>
      </c>
      <c r="AC43" s="180">
        <f t="shared" si="7"/>
        <v>0</v>
      </c>
      <c r="AD43" s="180">
        <f t="shared" si="7"/>
        <v>0</v>
      </c>
      <c r="AE43" s="180">
        <f t="shared" si="7"/>
        <v>0</v>
      </c>
      <c r="AF43" s="180">
        <f t="shared" si="7"/>
        <v>0</v>
      </c>
      <c r="AG43" s="180">
        <f t="shared" si="7"/>
        <v>0</v>
      </c>
      <c r="AH43" s="180">
        <f t="shared" si="7"/>
        <v>0</v>
      </c>
      <c r="AI43" s="180">
        <f t="shared" si="7"/>
        <v>0</v>
      </c>
      <c r="AJ43" s="180">
        <f t="shared" si="7"/>
        <v>0</v>
      </c>
      <c r="AK43" s="180">
        <f t="shared" si="7"/>
        <v>0</v>
      </c>
      <c r="AL43" s="180">
        <f t="shared" si="7"/>
        <v>0</v>
      </c>
      <c r="AM43" s="180">
        <f t="shared" si="7"/>
        <v>0</v>
      </c>
    </row>
    <row r="44" spans="1:39" s="178" customFormat="1" ht="17.100000000000001" customHeight="1">
      <c r="A44" s="16"/>
      <c r="B44" s="182" t="s">
        <v>376</v>
      </c>
      <c r="C44" s="180">
        <f>0</f>
        <v>0</v>
      </c>
      <c r="D44" s="180">
        <f>0</f>
        <v>0</v>
      </c>
      <c r="E44" s="180">
        <f>IF(OR(E$6&gt;'User Inputs'!$B$99,E41&lt;=0),0,
MIN(E41+E42,
-PMT('User Inputs'!$H$97,
'User Inputs'!$B$99,
'User Inputs'!$B$113)))</f>
        <v>0</v>
      </c>
      <c r="F44" s="180">
        <f>IF(OR(F$6&gt;'User Inputs'!$B$99,F41&lt;=0),0,
MIN(F41+F42,
-PMT('User Inputs'!$H$97,
'User Inputs'!$B$99,
'User Inputs'!$B$113)))</f>
        <v>0</v>
      </c>
      <c r="G44" s="180">
        <f>IF(OR(G$6&gt;'User Inputs'!$B$99,G41&lt;=0),0,
MIN(G41+G42,
-PMT('User Inputs'!$H$97,
'User Inputs'!$B$99,
'User Inputs'!$B$113)))</f>
        <v>0</v>
      </c>
      <c r="H44" s="180">
        <f>IF(OR(H$6&gt;'User Inputs'!$B$99,H41&lt;=0),0,
MIN(H41+H42,
-PMT('User Inputs'!$H$97,
'User Inputs'!$B$99,
'User Inputs'!$B$113)))</f>
        <v>0</v>
      </c>
      <c r="I44" s="180">
        <f>IF(OR(I$6&gt;'User Inputs'!$B$99,I41&lt;=0),0,
MIN(I41+I42,
-PMT('User Inputs'!$H$97,
'User Inputs'!$B$99,
'User Inputs'!$B$113)))</f>
        <v>0</v>
      </c>
      <c r="J44" s="180">
        <f>IF(OR(J$6&gt;'User Inputs'!$B$99,J41&lt;=0),0,
MIN(J41+J42,
-PMT('User Inputs'!$H$97,
'User Inputs'!$B$99,
'User Inputs'!$B$113)))</f>
        <v>0</v>
      </c>
      <c r="K44" s="180">
        <f>IF(OR(K$6&gt;'User Inputs'!$B$99,K41&lt;=0),0,
MIN(K41+K42,
-PMT('User Inputs'!$H$97,
'User Inputs'!$B$99,
'User Inputs'!$B$113)))</f>
        <v>0</v>
      </c>
      <c r="L44" s="180">
        <f>IF(OR(L$6&gt;'User Inputs'!$B$99,L41&lt;=0),0,
MIN(L41+L42,
-PMT('User Inputs'!$H$97,
'User Inputs'!$B$99,
'User Inputs'!$B$113)))</f>
        <v>0</v>
      </c>
      <c r="M44" s="180">
        <f>IF(OR(M$6&gt;'User Inputs'!$B$99,M41&lt;=0),0,
MIN(M41+M42,
-PMT('User Inputs'!$H$97,
'User Inputs'!$B$99,
'User Inputs'!$B$113)))</f>
        <v>0</v>
      </c>
      <c r="N44" s="180">
        <f>IF(OR(N$6&gt;'User Inputs'!$B$99,N41&lt;=0),0,
MIN(N41+N42,
-PMT('User Inputs'!$H$97,
'User Inputs'!$B$99,
'User Inputs'!$B$113)))</f>
        <v>0</v>
      </c>
      <c r="O44" s="180">
        <f>IF(OR(O$6&gt;'User Inputs'!$B$99,O41&lt;=0),0,
MIN(O41+O42,
-PMT('User Inputs'!$H$97,
'User Inputs'!$B$99,
'User Inputs'!$B$113)))</f>
        <v>0</v>
      </c>
      <c r="P44" s="180">
        <f>IF(OR(P$6&gt;'User Inputs'!$B$99,P41&lt;=0),0,
MIN(P41+P42,
-PMT('User Inputs'!$H$97,
'User Inputs'!$B$99,
'User Inputs'!$B$113)))</f>
        <v>0</v>
      </c>
      <c r="Q44" s="180">
        <f>IF(OR(Q$6&gt;'User Inputs'!$B$99,Q41&lt;=0),0,
MIN(Q41+Q42,
-PMT('User Inputs'!$H$97,
'User Inputs'!$B$99,
'User Inputs'!$B$113)))</f>
        <v>0</v>
      </c>
      <c r="R44" s="180">
        <f>IF(OR(R$6&gt;'User Inputs'!$B$99,R41&lt;=0),0,
MIN(R41+R42,
-PMT('User Inputs'!$H$97,
'User Inputs'!$B$99,
'User Inputs'!$B$113)))</f>
        <v>0</v>
      </c>
      <c r="S44" s="180">
        <f>IF(OR(S$6&gt;'User Inputs'!$B$99,S41&lt;=0),0,
MIN(S41+S42,
-PMT('User Inputs'!$H$97,
'User Inputs'!$B$99,
'User Inputs'!$B$113)))</f>
        <v>0</v>
      </c>
      <c r="T44" s="180">
        <f>IF(OR(T$6&gt;'User Inputs'!$B$99,T41&lt;=0),0,
MIN(T41+T42,
-PMT('User Inputs'!$H$97,
'User Inputs'!$B$99,
'User Inputs'!$B$113)))</f>
        <v>0</v>
      </c>
      <c r="U44" s="180">
        <f>IF(OR(U$6&gt;'User Inputs'!$B$99,U41&lt;=0),0,
MIN(U41+U42,
-PMT('User Inputs'!$H$97,
'User Inputs'!$B$99,
'User Inputs'!$B$113)))</f>
        <v>0</v>
      </c>
      <c r="V44" s="180">
        <f>IF(OR(V$6&gt;'User Inputs'!$B$99,V41&lt;=0),0,
MIN(V41+V42,
-PMT('User Inputs'!$H$97,
'User Inputs'!$B$99,
'User Inputs'!$B$113)))</f>
        <v>0</v>
      </c>
      <c r="W44" s="180">
        <f>IF(OR(W$6&gt;'User Inputs'!$B$99,W41&lt;=0),0,
MIN(W41+W42,
-PMT('User Inputs'!$H$97,
'User Inputs'!$B$99,
'User Inputs'!$B$113)))</f>
        <v>0</v>
      </c>
      <c r="X44" s="180">
        <f>IF(OR(X$6&gt;'User Inputs'!$B$99,X41&lt;=0),0,
MIN(X41+X42,
-PMT('User Inputs'!$H$97,
'User Inputs'!$B$99,
'User Inputs'!$B$113)))</f>
        <v>0</v>
      </c>
      <c r="Y44" s="180">
        <f>IF(OR(Y$6&gt;'User Inputs'!$B$99,Y41&lt;=0),0,
MIN(Y41+Y42,
-PMT('User Inputs'!$H$97,
'User Inputs'!$B$99,
'User Inputs'!$B$113)))</f>
        <v>0</v>
      </c>
      <c r="Z44" s="180">
        <f>IF(OR(Z$6&gt;'User Inputs'!$B$99,Z41&lt;=0),0,
MIN(Z41+Z42,
-PMT('User Inputs'!$H$97,
'User Inputs'!$B$99,
'User Inputs'!$B$113)))</f>
        <v>0</v>
      </c>
      <c r="AA44" s="180">
        <f>IF(OR(AA$6&gt;'User Inputs'!$B$99,AA41&lt;=0),0,
MIN(AA41+AA42,
-PMT('User Inputs'!$H$97,
'User Inputs'!$B$99,
'User Inputs'!$B$113)))</f>
        <v>0</v>
      </c>
      <c r="AB44" s="180">
        <f>IF(OR(AB$6&gt;'User Inputs'!$B$99,AB41&lt;=0),0,
MIN(AB41+AB42,
-PMT('User Inputs'!$H$97,
'User Inputs'!$B$99,
'User Inputs'!$B$113)))</f>
        <v>0</v>
      </c>
      <c r="AC44" s="180">
        <f>IF(OR(AC$6&gt;'User Inputs'!$B$99,AC41&lt;=0),0,
MIN(AC41+AC42,
-PMT('User Inputs'!$H$97,
'User Inputs'!$B$99,
'User Inputs'!$B$113)))</f>
        <v>0</v>
      </c>
      <c r="AD44" s="180">
        <f>IF(OR(AD$6&gt;'User Inputs'!$B$99,AD41&lt;=0),0,
MIN(AD41+AD42,
-PMT('User Inputs'!$H$97,
'User Inputs'!$B$99,
'User Inputs'!$B$113)))</f>
        <v>0</v>
      </c>
      <c r="AE44" s="180">
        <f>IF(OR(AE$6&gt;'User Inputs'!$B$99,AE41&lt;=0),0,
MIN(AE41+AE42,
-PMT('User Inputs'!$H$97,
'User Inputs'!$B$99,
'User Inputs'!$B$113)))</f>
        <v>0</v>
      </c>
      <c r="AF44" s="180">
        <f>IF(OR(AF$6&gt;'User Inputs'!$B$99,AF41&lt;=0),0,
MIN(AF41+AF42,
-PMT('User Inputs'!$H$97,
'User Inputs'!$B$99,
'User Inputs'!$B$113)))</f>
        <v>0</v>
      </c>
      <c r="AG44" s="180">
        <f>IF(OR(AG$6&gt;'User Inputs'!$B$99,AG41&lt;=0),0,
MIN(AG41+AG42,
-PMT('User Inputs'!$H$97,
'User Inputs'!$B$99,
'User Inputs'!$B$113)))</f>
        <v>0</v>
      </c>
      <c r="AH44" s="180">
        <f>IF(OR(AH$6&gt;'User Inputs'!$B$99,AH41&lt;=0),0,
MIN(AH41+AH42,
-PMT('User Inputs'!$H$97,
'User Inputs'!$B$99,
'User Inputs'!$B$113)))</f>
        <v>0</v>
      </c>
      <c r="AI44" s="180">
        <f>IF(OR(AI$6&gt;'User Inputs'!$B$99,AI41&lt;=0),0,
MIN(AI41+AI42,
-PMT('User Inputs'!$H$97,
'User Inputs'!$B$99,
'User Inputs'!$B$113)))</f>
        <v>0</v>
      </c>
      <c r="AJ44" s="180">
        <f>IF(OR(AJ$6&gt;'User Inputs'!$B$99,AJ41&lt;=0),0,
MIN(AJ41+AJ42,
-PMT('User Inputs'!$H$97,
'User Inputs'!$B$99,
'User Inputs'!$B$113)))</f>
        <v>0</v>
      </c>
      <c r="AK44" s="180">
        <f>IF(OR(AK$6&gt;'User Inputs'!$B$99,AK41&lt;=0),0,
MIN(AK41+AK42,
-PMT('User Inputs'!$H$97,
'User Inputs'!$B$99,
'User Inputs'!$B$113)))</f>
        <v>0</v>
      </c>
      <c r="AL44" s="180">
        <f>IF(OR(AL$6&gt;'User Inputs'!$B$99,AL41&lt;=0),0,
MIN(AL41+AL42,
-PMT('User Inputs'!$H$97,
'User Inputs'!$B$99,
'User Inputs'!$B$113)))</f>
        <v>0</v>
      </c>
      <c r="AM44" s="180">
        <f>IF(OR(AM$6&gt;'User Inputs'!$B$99,AM41&lt;=0),0,
MIN(AM41+AM42,
-PMT('User Inputs'!$H$97,
'User Inputs'!$B$99,
'User Inputs'!$B$113)))</f>
        <v>0</v>
      </c>
    </row>
    <row r="45" spans="1:39" s="178" customFormat="1" ht="17.100000000000001" customHeight="1">
      <c r="A45" s="16"/>
      <c r="B45" s="182" t="s">
        <v>377</v>
      </c>
      <c r="C45" s="180">
        <f>'User Inputs'!$B$113</f>
        <v>0</v>
      </c>
      <c r="D45" s="180">
        <f>C45</f>
        <v>0</v>
      </c>
      <c r="E45" s="180">
        <f>MAX(0,E41-E43)</f>
        <v>0</v>
      </c>
      <c r="F45" s="180">
        <f t="shared" ref="F45:AM45" si="8">MAX(0,F41-F43)</f>
        <v>0</v>
      </c>
      <c r="G45" s="180">
        <f t="shared" si="8"/>
        <v>0</v>
      </c>
      <c r="H45" s="180">
        <f t="shared" si="8"/>
        <v>0</v>
      </c>
      <c r="I45" s="180">
        <f t="shared" si="8"/>
        <v>0</v>
      </c>
      <c r="J45" s="180">
        <f t="shared" si="8"/>
        <v>0</v>
      </c>
      <c r="K45" s="180">
        <f t="shared" si="8"/>
        <v>0</v>
      </c>
      <c r="L45" s="180">
        <f t="shared" si="8"/>
        <v>0</v>
      </c>
      <c r="M45" s="180">
        <f t="shared" si="8"/>
        <v>0</v>
      </c>
      <c r="N45" s="180">
        <f t="shared" si="8"/>
        <v>0</v>
      </c>
      <c r="O45" s="180">
        <f t="shared" si="8"/>
        <v>0</v>
      </c>
      <c r="P45" s="180">
        <f t="shared" si="8"/>
        <v>0</v>
      </c>
      <c r="Q45" s="180">
        <f t="shared" si="8"/>
        <v>0</v>
      </c>
      <c r="R45" s="180">
        <f t="shared" si="8"/>
        <v>0</v>
      </c>
      <c r="S45" s="180">
        <f t="shared" si="8"/>
        <v>0</v>
      </c>
      <c r="T45" s="180">
        <f t="shared" si="8"/>
        <v>0</v>
      </c>
      <c r="U45" s="180">
        <f t="shared" si="8"/>
        <v>0</v>
      </c>
      <c r="V45" s="180">
        <f t="shared" si="8"/>
        <v>0</v>
      </c>
      <c r="W45" s="180">
        <f t="shared" si="8"/>
        <v>0</v>
      </c>
      <c r="X45" s="180">
        <f t="shared" si="8"/>
        <v>0</v>
      </c>
      <c r="Y45" s="180">
        <f t="shared" si="8"/>
        <v>0</v>
      </c>
      <c r="Z45" s="180">
        <f t="shared" si="8"/>
        <v>0</v>
      </c>
      <c r="AA45" s="180">
        <f t="shared" si="8"/>
        <v>0</v>
      </c>
      <c r="AB45" s="180">
        <f t="shared" si="8"/>
        <v>0</v>
      </c>
      <c r="AC45" s="180">
        <f t="shared" si="8"/>
        <v>0</v>
      </c>
      <c r="AD45" s="180">
        <f t="shared" si="8"/>
        <v>0</v>
      </c>
      <c r="AE45" s="180">
        <f t="shared" si="8"/>
        <v>0</v>
      </c>
      <c r="AF45" s="180">
        <f t="shared" si="8"/>
        <v>0</v>
      </c>
      <c r="AG45" s="180">
        <f t="shared" si="8"/>
        <v>0</v>
      </c>
      <c r="AH45" s="180">
        <f t="shared" si="8"/>
        <v>0</v>
      </c>
      <c r="AI45" s="180">
        <f t="shared" si="8"/>
        <v>0</v>
      </c>
      <c r="AJ45" s="180">
        <f t="shared" si="8"/>
        <v>0</v>
      </c>
      <c r="AK45" s="180">
        <f t="shared" si="8"/>
        <v>0</v>
      </c>
      <c r="AL45" s="180">
        <f t="shared" si="8"/>
        <v>0</v>
      </c>
      <c r="AM45" s="180">
        <f t="shared" si="8"/>
        <v>0</v>
      </c>
    </row>
    <row r="46" spans="1:39" s="178" customFormat="1" ht="17.100000000000001" customHeight="1">
      <c r="A46" s="16"/>
      <c r="B46" s="182" t="s">
        <v>378</v>
      </c>
      <c r="C46" s="180">
        <f>0</f>
        <v>0</v>
      </c>
      <c r="D46" s="180">
        <f>0</f>
        <v>0</v>
      </c>
      <c r="E46" s="180">
        <f ca="1">MAX(0,E36-E39-E42)*'User Inputs'!$F$113</f>
        <v>0</v>
      </c>
      <c r="F46" s="180">
        <f ca="1">MAX(0,F36-F39-F42-E47)*'User Inputs'!$F$113</f>
        <v>0</v>
      </c>
      <c r="G46" s="180">
        <f ca="1">MAX(0,G36-G39-G42-F47)*'User Inputs'!$F$113</f>
        <v>0</v>
      </c>
      <c r="H46" s="180">
        <f ca="1">MAX(0,H36-H39-H42-G47)*'User Inputs'!$F$113</f>
        <v>0</v>
      </c>
      <c r="I46" s="180">
        <f ca="1">MAX(0,I36-I39-I42-H47)*'User Inputs'!$F$113</f>
        <v>0</v>
      </c>
      <c r="J46" s="180">
        <f ca="1">MAX(0,J36-J39-J42-I47)*'User Inputs'!$F$113</f>
        <v>0</v>
      </c>
      <c r="K46" s="180">
        <f ca="1">MAX(0,K36-K39-K42-J47)*'User Inputs'!$F$113</f>
        <v>0</v>
      </c>
      <c r="L46" s="180">
        <f ca="1">MAX(0,L36-L39-L42-K47)*'User Inputs'!$F$113</f>
        <v>0</v>
      </c>
      <c r="M46" s="180">
        <f ca="1">MAX(0,M36-M39-M42-L47)*'User Inputs'!$F$113</f>
        <v>0</v>
      </c>
      <c r="N46" s="180">
        <f ca="1">MAX(0,N36-N39-N42-M47)*'User Inputs'!$F$113</f>
        <v>0</v>
      </c>
      <c r="O46" s="180">
        <f ca="1">MAX(0,O36-O39-O42-N47)*'User Inputs'!$F$113</f>
        <v>0</v>
      </c>
      <c r="P46" s="180">
        <f ca="1">MAX(0,P36-P39-P42-O47)*'User Inputs'!$F$113</f>
        <v>0</v>
      </c>
      <c r="Q46" s="180">
        <f ca="1">MAX(0,Q36-Q39-Q42-P47)*'User Inputs'!$F$113</f>
        <v>0</v>
      </c>
      <c r="R46" s="180">
        <f ca="1">MAX(0,R36-R39-R42-Q47)*'User Inputs'!$F$113</f>
        <v>0</v>
      </c>
      <c r="S46" s="180">
        <f ca="1">MAX(0,S36-S39-S42-R47)*'User Inputs'!$F$113</f>
        <v>0</v>
      </c>
      <c r="T46" s="180">
        <f ca="1">MAX(0,T36-T39-T42-S47)*'User Inputs'!$F$113</f>
        <v>0</v>
      </c>
      <c r="U46" s="180">
        <f ca="1">MAX(0,U36-U39-U42-T47)*'User Inputs'!$F$113</f>
        <v>0</v>
      </c>
      <c r="V46" s="180">
        <f ca="1">MAX(0,V36-V39-V42-U47)*'User Inputs'!$F$113</f>
        <v>0</v>
      </c>
      <c r="W46" s="180">
        <f ca="1">MAX(0,W36-W39-W42-V47)*'User Inputs'!$F$113</f>
        <v>0</v>
      </c>
      <c r="X46" s="180">
        <f ca="1">MAX(0,X36-X39-X42-W47)*'User Inputs'!$F$113</f>
        <v>0</v>
      </c>
      <c r="Y46" s="180">
        <f ca="1">MAX(0,Y36-Y39-Y42-X47)*'User Inputs'!$F$113</f>
        <v>0</v>
      </c>
      <c r="Z46" s="180">
        <f ca="1">MAX(0,Z36-Z39-Z42-Y47)*'User Inputs'!$F$113</f>
        <v>0</v>
      </c>
      <c r="AA46" s="180">
        <f ca="1">MAX(0,AA36-AA39-AA42-Z47)*'User Inputs'!$F$113</f>
        <v>0</v>
      </c>
      <c r="AB46" s="180">
        <f ca="1">MAX(0,AB36-AB39-AB42-AA47)*'User Inputs'!$F$113</f>
        <v>0</v>
      </c>
      <c r="AC46" s="180">
        <f ca="1">MAX(0,AC36-AC39-AC42-AB47)*'User Inputs'!$F$113</f>
        <v>0</v>
      </c>
      <c r="AD46" s="180">
        <f ca="1">MAX(0,AD36-AD39-AD42-AC47)*'User Inputs'!$F$113</f>
        <v>0</v>
      </c>
      <c r="AE46" s="180">
        <f ca="1">MAX(0,AE36-AE39-AE42-AD47)*'User Inputs'!$F$113</f>
        <v>0</v>
      </c>
      <c r="AF46" s="180">
        <f ca="1">MAX(0,AF36-AF39-AF42-AE47)*'User Inputs'!$F$113</f>
        <v>0</v>
      </c>
      <c r="AG46" s="180">
        <f ca="1">MAX(0,AG36-AG39-AG42-AF47)*'User Inputs'!$F$113</f>
        <v>0</v>
      </c>
      <c r="AH46" s="180">
        <f ca="1">MAX(0,AH36-AH39-AH42-AG47)*'User Inputs'!$F$113</f>
        <v>0</v>
      </c>
      <c r="AI46" s="180">
        <f ca="1">MAX(0,AI36-AI39-AI42-AH47)*'User Inputs'!$F$113</f>
        <v>0</v>
      </c>
      <c r="AJ46" s="180">
        <f ca="1">MAX(0,AJ36-AJ39-AJ42-AI47)*'User Inputs'!$F$113</f>
        <v>0</v>
      </c>
      <c r="AK46" s="180">
        <f ca="1">MAX(0,AK36-AK39-AK42-AJ47)*'User Inputs'!$F$113</f>
        <v>0</v>
      </c>
      <c r="AL46" s="180">
        <f ca="1">MAX(0,AL36-AL39-AL42-AK47)*'User Inputs'!$F$113</f>
        <v>0</v>
      </c>
      <c r="AM46" s="180">
        <f ca="1">MAX(0,AM36-AM39-AM42-AL47)*'User Inputs'!$F$113</f>
        <v>0</v>
      </c>
    </row>
    <row r="47" spans="1:39" s="178" customFormat="1" ht="17.100000000000001" customHeight="1">
      <c r="A47" s="16"/>
      <c r="B47" s="182" t="s">
        <v>379</v>
      </c>
      <c r="C47" s="180">
        <f>0</f>
        <v>0</v>
      </c>
      <c r="D47" s="180">
        <f>0</f>
        <v>0</v>
      </c>
      <c r="E47" s="180">
        <f ca="1">MAX(0,E39+E42-E36)</f>
        <v>0</v>
      </c>
      <c r="F47" s="180">
        <f ca="1">MAX(0,E47-(F36-F39-F42))</f>
        <v>0</v>
      </c>
      <c r="G47" s="180">
        <f t="shared" ref="G47:AM47" ca="1" si="9">MAX(0,F47-(G36-G39-G42))</f>
        <v>0</v>
      </c>
      <c r="H47" s="180">
        <f t="shared" ca="1" si="9"/>
        <v>0</v>
      </c>
      <c r="I47" s="180">
        <f t="shared" ca="1" si="9"/>
        <v>0</v>
      </c>
      <c r="J47" s="180">
        <f t="shared" ca="1" si="9"/>
        <v>0</v>
      </c>
      <c r="K47" s="180">
        <f t="shared" ca="1" si="9"/>
        <v>0</v>
      </c>
      <c r="L47" s="180">
        <f t="shared" ca="1" si="9"/>
        <v>0</v>
      </c>
      <c r="M47" s="180">
        <f t="shared" ca="1" si="9"/>
        <v>0</v>
      </c>
      <c r="N47" s="180">
        <f t="shared" ca="1" si="9"/>
        <v>0</v>
      </c>
      <c r="O47" s="180">
        <f t="shared" ca="1" si="9"/>
        <v>0</v>
      </c>
      <c r="P47" s="180">
        <f t="shared" ca="1" si="9"/>
        <v>0</v>
      </c>
      <c r="Q47" s="180">
        <f t="shared" ca="1" si="9"/>
        <v>0</v>
      </c>
      <c r="R47" s="180">
        <f t="shared" ca="1" si="9"/>
        <v>0</v>
      </c>
      <c r="S47" s="180">
        <f t="shared" ca="1" si="9"/>
        <v>0</v>
      </c>
      <c r="T47" s="180">
        <f t="shared" ca="1" si="9"/>
        <v>0</v>
      </c>
      <c r="U47" s="180">
        <f t="shared" ca="1" si="9"/>
        <v>0</v>
      </c>
      <c r="V47" s="180">
        <f t="shared" ca="1" si="9"/>
        <v>0</v>
      </c>
      <c r="W47" s="180">
        <f t="shared" ca="1" si="9"/>
        <v>0</v>
      </c>
      <c r="X47" s="180">
        <f t="shared" ca="1" si="9"/>
        <v>0</v>
      </c>
      <c r="Y47" s="180">
        <f t="shared" ca="1" si="9"/>
        <v>0</v>
      </c>
      <c r="Z47" s="180">
        <f t="shared" ca="1" si="9"/>
        <v>0</v>
      </c>
      <c r="AA47" s="180">
        <f t="shared" ca="1" si="9"/>
        <v>0</v>
      </c>
      <c r="AB47" s="180">
        <f t="shared" ca="1" si="9"/>
        <v>0</v>
      </c>
      <c r="AC47" s="180">
        <f t="shared" ca="1" si="9"/>
        <v>0</v>
      </c>
      <c r="AD47" s="180">
        <f t="shared" ca="1" si="9"/>
        <v>0</v>
      </c>
      <c r="AE47" s="180">
        <f t="shared" ca="1" si="9"/>
        <v>0</v>
      </c>
      <c r="AF47" s="180">
        <f t="shared" ca="1" si="9"/>
        <v>0</v>
      </c>
      <c r="AG47" s="180">
        <f t="shared" ca="1" si="9"/>
        <v>0</v>
      </c>
      <c r="AH47" s="180">
        <f t="shared" ca="1" si="9"/>
        <v>0</v>
      </c>
      <c r="AI47" s="180">
        <f t="shared" ca="1" si="9"/>
        <v>0</v>
      </c>
      <c r="AJ47" s="180">
        <f t="shared" ca="1" si="9"/>
        <v>0</v>
      </c>
      <c r="AK47" s="180">
        <f t="shared" ca="1" si="9"/>
        <v>0</v>
      </c>
      <c r="AL47" s="180">
        <f t="shared" ca="1" si="9"/>
        <v>0</v>
      </c>
      <c r="AM47" s="180">
        <f t="shared" ca="1" si="9"/>
        <v>0</v>
      </c>
    </row>
    <row r="48" spans="1:39" s="178" customFormat="1" ht="17.100000000000001" customHeight="1">
      <c r="A48" s="16"/>
      <c r="B48" s="182" t="s">
        <v>380</v>
      </c>
      <c r="C48" s="180">
        <f>0</f>
        <v>0</v>
      </c>
      <c r="D48" s="180">
        <f>0</f>
        <v>0</v>
      </c>
      <c r="E48" s="180">
        <f ca="1">MAX(0,E36-E40-E42+E54)*'User Inputs'!$F$113</f>
        <v>0</v>
      </c>
      <c r="F48" s="180">
        <f ca="1">MAX(0,F36-F40-F42+F54-E49)*'User Inputs'!$F$113</f>
        <v>0</v>
      </c>
      <c r="G48" s="180">
        <f ca="1">MAX(0,G36-G40-G42+G54-F49)*'User Inputs'!$F$113</f>
        <v>0</v>
      </c>
      <c r="H48" s="180">
        <f ca="1">MAX(0,H36-H40-H42+H54-G49)*'User Inputs'!$F$113</f>
        <v>0</v>
      </c>
      <c r="I48" s="180">
        <f ca="1">MAX(0,I36-I40-I42+I54-H49)*'User Inputs'!$F$113</f>
        <v>0</v>
      </c>
      <c r="J48" s="180">
        <f ca="1">MAX(0,J36-J40-J42+J54-I49)*'User Inputs'!$F$113</f>
        <v>0</v>
      </c>
      <c r="K48" s="180">
        <f ca="1">MAX(0,K36-K40-K42+K54-J49)*'User Inputs'!$F$113</f>
        <v>0</v>
      </c>
      <c r="L48" s="180">
        <f ca="1">MAX(0,L36-L40-L42+L54-K49)*'User Inputs'!$F$113</f>
        <v>0</v>
      </c>
      <c r="M48" s="180">
        <f ca="1">MAX(0,M36-M40-M42+M54-L49)*'User Inputs'!$F$113</f>
        <v>0</v>
      </c>
      <c r="N48" s="180">
        <f ca="1">MAX(0,N36-N40-N42+N54-M49)*'User Inputs'!$F$113</f>
        <v>0</v>
      </c>
      <c r="O48" s="180">
        <f ca="1">MAX(0,O36-O40-O42+O54-N49)*'User Inputs'!$F$113</f>
        <v>0</v>
      </c>
      <c r="P48" s="180">
        <f ca="1">MAX(0,P36-P40-P42+P54-O49)*'User Inputs'!$F$113</f>
        <v>0</v>
      </c>
      <c r="Q48" s="180">
        <f ca="1">MAX(0,Q36-Q40-Q42+Q54-P49)*'User Inputs'!$F$113</f>
        <v>0</v>
      </c>
      <c r="R48" s="180">
        <f ca="1">MAX(0,R36-R40-R42+R54-Q49)*'User Inputs'!$F$113</f>
        <v>0</v>
      </c>
      <c r="S48" s="180">
        <f ca="1">MAX(0,S36-S40-S42+S54-R49)*'User Inputs'!$F$113</f>
        <v>0</v>
      </c>
      <c r="T48" s="180">
        <f ca="1">MAX(0,T36-T40-T42+T54-S49)*'User Inputs'!$F$113</f>
        <v>0</v>
      </c>
      <c r="U48" s="180">
        <f ca="1">MAX(0,U36-U40-U42+U54-T49)*'User Inputs'!$F$113</f>
        <v>0</v>
      </c>
      <c r="V48" s="180">
        <f ca="1">MAX(0,V36-V40-V42+V54-U49)*'User Inputs'!$F$113</f>
        <v>0</v>
      </c>
      <c r="W48" s="180">
        <f ca="1">MAX(0,W36-W40-W42+W54-V49)*'User Inputs'!$F$113</f>
        <v>0</v>
      </c>
      <c r="X48" s="180">
        <f ca="1">MAX(0,X36-X40-X42+X54-W49)*'User Inputs'!$F$113</f>
        <v>0</v>
      </c>
      <c r="Y48" s="180">
        <f ca="1">MAX(0,Y36-Y40-Y42+Y54-X49)*'User Inputs'!$F$113</f>
        <v>0</v>
      </c>
      <c r="Z48" s="180">
        <f ca="1">MAX(0,Z36-Z40-Z42+Z54-Y49)*'User Inputs'!$F$113</f>
        <v>0</v>
      </c>
      <c r="AA48" s="180">
        <f ca="1">MAX(0,AA36-AA40-AA42+AA54-Z49)*'User Inputs'!$F$113</f>
        <v>0</v>
      </c>
      <c r="AB48" s="180">
        <f ca="1">MAX(0,AB36-AB40-AB42+AB54-AA49)*'User Inputs'!$F$113</f>
        <v>0</v>
      </c>
      <c r="AC48" s="180">
        <f ca="1">MAX(0,AC36-AC40-AC42+AC54-AB49)*'User Inputs'!$F$113</f>
        <v>0</v>
      </c>
      <c r="AD48" s="180">
        <f ca="1">MAX(0,AD36-AD40-AD42+AD54-AC49)*'User Inputs'!$F$113</f>
        <v>0</v>
      </c>
      <c r="AE48" s="180">
        <f ca="1">MAX(0,AE36-AE40-AE42+AE54-AD49)*'User Inputs'!$F$113</f>
        <v>0</v>
      </c>
      <c r="AF48" s="180">
        <f ca="1">MAX(0,AF36-AF40-AF42+AF54-AE49)*'User Inputs'!$F$113</f>
        <v>0</v>
      </c>
      <c r="AG48" s="180">
        <f ca="1">MAX(0,AG36-AG40-AG42+AG54-AF49)*'User Inputs'!$F$113</f>
        <v>0</v>
      </c>
      <c r="AH48" s="180">
        <f ca="1">MAX(0,AH36-AH40-AH42+AH54-AG49)*'User Inputs'!$F$113</f>
        <v>0</v>
      </c>
      <c r="AI48" s="180">
        <f ca="1">MAX(0,AI36-AI40-AI42+AI54-AH49)*'User Inputs'!$F$113</f>
        <v>0</v>
      </c>
      <c r="AJ48" s="180">
        <f ca="1">MAX(0,AJ36-AJ40-AJ42+AJ54-AI49)*'User Inputs'!$F$113</f>
        <v>0</v>
      </c>
      <c r="AK48" s="180">
        <f ca="1">MAX(0,AK36-AK40-AK42+AK54-AJ49)*'User Inputs'!$F$113</f>
        <v>0</v>
      </c>
      <c r="AL48" s="180">
        <f ca="1">MAX(0,AL36-AL40-AL42+AL54-AK49)*'User Inputs'!$F$113</f>
        <v>0</v>
      </c>
      <c r="AM48" s="180">
        <f ca="1">MAX(0,AM36-AM40-AM42+AM54-AL49)*'User Inputs'!$F$113</f>
        <v>0</v>
      </c>
    </row>
    <row r="49" spans="1:39" s="178" customFormat="1" ht="17.100000000000001" customHeight="1">
      <c r="A49" s="16"/>
      <c r="B49" s="182" t="s">
        <v>381</v>
      </c>
      <c r="C49" s="180">
        <f>0</f>
        <v>0</v>
      </c>
      <c r="D49" s="180">
        <f>0</f>
        <v>0</v>
      </c>
      <c r="E49" s="180">
        <f ca="1">MAX(0,E40+E42-E36-E54)</f>
        <v>0</v>
      </c>
      <c r="F49" s="180">
        <f ca="1">MAX(0,E49-(F36-F40-F42+F54))</f>
        <v>0</v>
      </c>
      <c r="G49" s="180">
        <f t="shared" ref="G49:AM49" ca="1" si="10">MAX(0,F49-(G36-G40-G42+G54))</f>
        <v>0</v>
      </c>
      <c r="H49" s="180">
        <f t="shared" ca="1" si="10"/>
        <v>0</v>
      </c>
      <c r="I49" s="180">
        <f t="shared" ca="1" si="10"/>
        <v>0</v>
      </c>
      <c r="J49" s="180">
        <f t="shared" ca="1" si="10"/>
        <v>0</v>
      </c>
      <c r="K49" s="180">
        <f t="shared" ca="1" si="10"/>
        <v>0</v>
      </c>
      <c r="L49" s="180">
        <f t="shared" ca="1" si="10"/>
        <v>0</v>
      </c>
      <c r="M49" s="180">
        <f t="shared" ca="1" si="10"/>
        <v>0</v>
      </c>
      <c r="N49" s="180">
        <f t="shared" ca="1" si="10"/>
        <v>0</v>
      </c>
      <c r="O49" s="180">
        <f t="shared" ca="1" si="10"/>
        <v>0</v>
      </c>
      <c r="P49" s="180">
        <f t="shared" ca="1" si="10"/>
        <v>0</v>
      </c>
      <c r="Q49" s="180">
        <f t="shared" ca="1" si="10"/>
        <v>0</v>
      </c>
      <c r="R49" s="180">
        <f t="shared" ca="1" si="10"/>
        <v>0</v>
      </c>
      <c r="S49" s="180">
        <f t="shared" ca="1" si="10"/>
        <v>0</v>
      </c>
      <c r="T49" s="180">
        <f t="shared" ca="1" si="10"/>
        <v>0</v>
      </c>
      <c r="U49" s="180">
        <f t="shared" ca="1" si="10"/>
        <v>0</v>
      </c>
      <c r="V49" s="180">
        <f t="shared" ca="1" si="10"/>
        <v>0</v>
      </c>
      <c r="W49" s="180">
        <f t="shared" ca="1" si="10"/>
        <v>0</v>
      </c>
      <c r="X49" s="180">
        <f t="shared" ca="1" si="10"/>
        <v>0</v>
      </c>
      <c r="Y49" s="180">
        <f t="shared" ca="1" si="10"/>
        <v>0</v>
      </c>
      <c r="Z49" s="180">
        <f t="shared" ca="1" si="10"/>
        <v>0</v>
      </c>
      <c r="AA49" s="180">
        <f t="shared" ca="1" si="10"/>
        <v>0</v>
      </c>
      <c r="AB49" s="180">
        <f t="shared" ca="1" si="10"/>
        <v>0</v>
      </c>
      <c r="AC49" s="180">
        <f t="shared" ca="1" si="10"/>
        <v>0</v>
      </c>
      <c r="AD49" s="180">
        <f t="shared" ca="1" si="10"/>
        <v>0</v>
      </c>
      <c r="AE49" s="180">
        <f t="shared" ca="1" si="10"/>
        <v>0</v>
      </c>
      <c r="AF49" s="180">
        <f t="shared" ca="1" si="10"/>
        <v>0</v>
      </c>
      <c r="AG49" s="180">
        <f t="shared" ca="1" si="10"/>
        <v>0</v>
      </c>
      <c r="AH49" s="180">
        <f t="shared" ca="1" si="10"/>
        <v>0</v>
      </c>
      <c r="AI49" s="180">
        <f t="shared" ca="1" si="10"/>
        <v>0</v>
      </c>
      <c r="AJ49" s="180">
        <f t="shared" ca="1" si="10"/>
        <v>0</v>
      </c>
      <c r="AK49" s="180">
        <f t="shared" ca="1" si="10"/>
        <v>0</v>
      </c>
      <c r="AL49" s="180">
        <f t="shared" ca="1" si="10"/>
        <v>0</v>
      </c>
      <c r="AM49" s="180">
        <f t="shared" ca="1" si="10"/>
        <v>0</v>
      </c>
    </row>
    <row r="50" spans="1:39" s="178" customFormat="1" ht="17.100000000000001" customHeight="1">
      <c r="A50" s="16"/>
      <c r="B50" s="182" t="s">
        <v>382</v>
      </c>
      <c r="C50" s="180">
        <f>0</f>
        <v>0</v>
      </c>
      <c r="D50" s="180">
        <f>0</f>
        <v>0</v>
      </c>
      <c r="E50" s="180">
        <f>IF(E$6=1,'User Inputs'!$F$111*'User Inputs'!$F$95,0)</f>
        <v>0</v>
      </c>
      <c r="F50" s="180">
        <f>IF(F$6=1,'User Inputs'!$F$111*'User Inputs'!$F$95,0)</f>
        <v>0</v>
      </c>
      <c r="G50" s="180">
        <f>IF(G$6=1,'User Inputs'!$F$111*'User Inputs'!$F$95,0)</f>
        <v>0</v>
      </c>
      <c r="H50" s="180">
        <f>IF(H$6=1,'User Inputs'!$F$111*'User Inputs'!$F$95,0)</f>
        <v>0</v>
      </c>
      <c r="I50" s="180">
        <f>IF(I$6=1,'User Inputs'!$F$111*'User Inputs'!$F$95,0)</f>
        <v>0</v>
      </c>
      <c r="J50" s="180">
        <f>IF(J$6=1,'User Inputs'!$F$111*'User Inputs'!$F$95,0)</f>
        <v>0</v>
      </c>
      <c r="K50" s="180">
        <f>IF(K$6=1,'User Inputs'!$F$111*'User Inputs'!$F$95,0)</f>
        <v>0</v>
      </c>
      <c r="L50" s="180">
        <f>IF(L$6=1,'User Inputs'!$F$111*'User Inputs'!$F$95,0)</f>
        <v>0</v>
      </c>
      <c r="M50" s="180">
        <f>IF(M$6=1,'User Inputs'!$F$111*'User Inputs'!$F$95,0)</f>
        <v>0</v>
      </c>
      <c r="N50" s="180">
        <f>IF(N$6=1,'User Inputs'!$F$111*'User Inputs'!$F$95,0)</f>
        <v>0</v>
      </c>
      <c r="O50" s="180">
        <f>IF(O$6=1,'User Inputs'!$F$111*'User Inputs'!$F$95,0)</f>
        <v>0</v>
      </c>
      <c r="P50" s="180">
        <f>IF(P$6=1,'User Inputs'!$F$111*'User Inputs'!$F$95,0)</f>
        <v>0</v>
      </c>
      <c r="Q50" s="180">
        <f>IF(Q$6=1,'User Inputs'!$F$111*'User Inputs'!$F$95,0)</f>
        <v>0</v>
      </c>
      <c r="R50" s="180">
        <f>IF(R$6=1,'User Inputs'!$F$111*'User Inputs'!$F$95,0)</f>
        <v>0</v>
      </c>
      <c r="S50" s="180">
        <f>IF(S$6=1,'User Inputs'!$F$111*'User Inputs'!$F$95,0)</f>
        <v>0</v>
      </c>
      <c r="T50" s="180">
        <f>IF(T$6=1,'User Inputs'!$F$111*'User Inputs'!$F$95,0)</f>
        <v>0</v>
      </c>
      <c r="U50" s="180">
        <f>IF(U$6=1,'User Inputs'!$F$111*'User Inputs'!$F$95,0)</f>
        <v>0</v>
      </c>
      <c r="V50" s="180">
        <f>IF(V$6=1,'User Inputs'!$F$111*'User Inputs'!$F$95,0)</f>
        <v>0</v>
      </c>
      <c r="W50" s="180">
        <f>IF(W$6=1,'User Inputs'!$F$111*'User Inputs'!$F$95,0)</f>
        <v>0</v>
      </c>
      <c r="X50" s="180">
        <f>IF(X$6=1,'User Inputs'!$F$111*'User Inputs'!$F$95,0)</f>
        <v>0</v>
      </c>
      <c r="Y50" s="180">
        <f>IF(Y$6=1,'User Inputs'!$F$111*'User Inputs'!$F$95,0)</f>
        <v>0</v>
      </c>
      <c r="Z50" s="180">
        <f>IF(Z$6=1,'User Inputs'!$F$111*'User Inputs'!$F$95,0)</f>
        <v>0</v>
      </c>
      <c r="AA50" s="180">
        <f>IF(AA$6=1,'User Inputs'!$F$111*'User Inputs'!$F$95,0)</f>
        <v>0</v>
      </c>
      <c r="AB50" s="180">
        <f>IF(AB$6=1,'User Inputs'!$F$111*'User Inputs'!$F$95,0)</f>
        <v>0</v>
      </c>
      <c r="AC50" s="180">
        <f>IF(AC$6=1,'User Inputs'!$F$111*'User Inputs'!$F$95,0)</f>
        <v>0</v>
      </c>
      <c r="AD50" s="180">
        <f>IF(AD$6=1,'User Inputs'!$F$111*'User Inputs'!$F$95,0)</f>
        <v>0</v>
      </c>
      <c r="AE50" s="180">
        <f>IF(AE$6=1,'User Inputs'!$F$111*'User Inputs'!$F$95,0)</f>
        <v>0</v>
      </c>
      <c r="AF50" s="180">
        <f>IF(AF$6=1,'User Inputs'!$F$111*'User Inputs'!$F$95,0)</f>
        <v>0</v>
      </c>
      <c r="AG50" s="180">
        <f>IF(AG$6=1,'User Inputs'!$F$111*'User Inputs'!$F$95,0)</f>
        <v>0</v>
      </c>
      <c r="AH50" s="180">
        <f>IF(AH$6=1,'User Inputs'!$F$111*'User Inputs'!$F$95,0)</f>
        <v>0</v>
      </c>
      <c r="AI50" s="180">
        <f>IF(AI$6=1,'User Inputs'!$F$111*'User Inputs'!$F$95,0)</f>
        <v>0</v>
      </c>
      <c r="AJ50" s="180">
        <f>IF(AJ$6=1,'User Inputs'!$F$111*'User Inputs'!$F$95,0)</f>
        <v>0</v>
      </c>
      <c r="AK50" s="180">
        <f>IF(AK$6=1,'User Inputs'!$F$111*'User Inputs'!$F$95,0)</f>
        <v>0</v>
      </c>
      <c r="AL50" s="180">
        <f>IF(AL$6=1,'User Inputs'!$F$111*'User Inputs'!$F$95,0)</f>
        <v>0</v>
      </c>
      <c r="AM50" s="180">
        <f>IF(AM$6=1,'User Inputs'!$F$111*'User Inputs'!$F$95,0)</f>
        <v>0</v>
      </c>
    </row>
    <row r="51" spans="1:39" s="178" customFormat="1" ht="17.100000000000001" customHeight="1">
      <c r="A51" s="16"/>
      <c r="B51" s="182" t="s">
        <v>383</v>
      </c>
      <c r="C51" s="180">
        <f>0</f>
        <v>0</v>
      </c>
      <c r="D51" s="180">
        <f>0</f>
        <v>0</v>
      </c>
      <c r="E51" s="180">
        <f>E50</f>
        <v>0</v>
      </c>
      <c r="F51" s="180">
        <f t="shared" ref="F51:AM51" si="11">F50</f>
        <v>0</v>
      </c>
      <c r="G51" s="180">
        <f t="shared" si="11"/>
        <v>0</v>
      </c>
      <c r="H51" s="180">
        <f t="shared" si="11"/>
        <v>0</v>
      </c>
      <c r="I51" s="180">
        <f t="shared" si="11"/>
        <v>0</v>
      </c>
      <c r="J51" s="180">
        <f t="shared" si="11"/>
        <v>0</v>
      </c>
      <c r="K51" s="180">
        <f t="shared" si="11"/>
        <v>0</v>
      </c>
      <c r="L51" s="180">
        <f t="shared" si="11"/>
        <v>0</v>
      </c>
      <c r="M51" s="180">
        <f t="shared" si="11"/>
        <v>0</v>
      </c>
      <c r="N51" s="180">
        <f t="shared" si="11"/>
        <v>0</v>
      </c>
      <c r="O51" s="180">
        <f t="shared" si="11"/>
        <v>0</v>
      </c>
      <c r="P51" s="180">
        <f t="shared" si="11"/>
        <v>0</v>
      </c>
      <c r="Q51" s="180">
        <f t="shared" si="11"/>
        <v>0</v>
      </c>
      <c r="R51" s="180">
        <f t="shared" si="11"/>
        <v>0</v>
      </c>
      <c r="S51" s="180">
        <f t="shared" si="11"/>
        <v>0</v>
      </c>
      <c r="T51" s="180">
        <f t="shared" si="11"/>
        <v>0</v>
      </c>
      <c r="U51" s="180">
        <f t="shared" si="11"/>
        <v>0</v>
      </c>
      <c r="V51" s="180">
        <f t="shared" si="11"/>
        <v>0</v>
      </c>
      <c r="W51" s="180">
        <f t="shared" si="11"/>
        <v>0</v>
      </c>
      <c r="X51" s="180">
        <f t="shared" si="11"/>
        <v>0</v>
      </c>
      <c r="Y51" s="180">
        <f t="shared" si="11"/>
        <v>0</v>
      </c>
      <c r="Z51" s="180">
        <f t="shared" si="11"/>
        <v>0</v>
      </c>
      <c r="AA51" s="180">
        <f t="shared" si="11"/>
        <v>0</v>
      </c>
      <c r="AB51" s="180">
        <f t="shared" si="11"/>
        <v>0</v>
      </c>
      <c r="AC51" s="180">
        <f t="shared" si="11"/>
        <v>0</v>
      </c>
      <c r="AD51" s="180">
        <f t="shared" si="11"/>
        <v>0</v>
      </c>
      <c r="AE51" s="180">
        <f t="shared" si="11"/>
        <v>0</v>
      </c>
      <c r="AF51" s="180">
        <f t="shared" si="11"/>
        <v>0</v>
      </c>
      <c r="AG51" s="180">
        <f t="shared" si="11"/>
        <v>0</v>
      </c>
      <c r="AH51" s="180">
        <f t="shared" si="11"/>
        <v>0</v>
      </c>
      <c r="AI51" s="180">
        <f t="shared" si="11"/>
        <v>0</v>
      </c>
      <c r="AJ51" s="180">
        <f t="shared" si="11"/>
        <v>0</v>
      </c>
      <c r="AK51" s="180">
        <f t="shared" si="11"/>
        <v>0</v>
      </c>
      <c r="AL51" s="180">
        <f t="shared" si="11"/>
        <v>0</v>
      </c>
      <c r="AM51" s="180">
        <f t="shared" si="11"/>
        <v>0</v>
      </c>
    </row>
    <row r="52" spans="1:39" s="178" customFormat="1" ht="17.100000000000001" customHeight="1">
      <c r="A52" s="16"/>
      <c r="B52" s="182" t="s">
        <v>384</v>
      </c>
      <c r="C52" s="180">
        <f>0</f>
        <v>0</v>
      </c>
      <c r="D52" s="180">
        <f>0</f>
        <v>0</v>
      </c>
      <c r="E52" s="180">
        <f ca="1">IF(AND(
OR('User Inputs'!$F$8="Tier 1 RE",'User Inputs'!$F$8="TIER 1 RE + Storage"),
'User Inputs'!$B$93="Yes - Generation and/or Storage",
'User Inputs'!$D$93="PTC",
E$6&gt;=1,
E$6&lt;=MIN('User Inputs'!$D$95,'User Inputs'!$F$19)),
E9*'User Inputs'!$B$95*'User Inputs'!$F$95,
0)</f>
        <v>0</v>
      </c>
      <c r="F52" s="180">
        <f ca="1">IF(AND(
OR('User Inputs'!$F$8="Tier 1 RE",'User Inputs'!$F$8="TIER 1 RE + Storage"),
'User Inputs'!$B$93="Yes - Generation and/or Storage",
'User Inputs'!$D$93="PTC",
F$6&gt;=1,
F$6&lt;=MIN('User Inputs'!$D$95,'User Inputs'!$F$19)),
F9*'User Inputs'!$B$95*'User Inputs'!$F$95,
0)</f>
        <v>0</v>
      </c>
      <c r="G52" s="180">
        <f ca="1">IF(AND(
OR('User Inputs'!$F$8="Tier 1 RE",'User Inputs'!$F$8="TIER 1 RE + Storage"),
'User Inputs'!$B$93="Yes - Generation and/or Storage",
'User Inputs'!$D$93="PTC",
G$6&gt;=1,
G$6&lt;=MIN('User Inputs'!$D$95,'User Inputs'!$F$19)),
G9*'User Inputs'!$B$95*'User Inputs'!$F$95,
0)</f>
        <v>0</v>
      </c>
      <c r="H52" s="180">
        <f ca="1">IF(AND(
OR('User Inputs'!$F$8="Tier 1 RE",'User Inputs'!$F$8="TIER 1 RE + Storage"),
'User Inputs'!$B$93="Yes - Generation and/or Storage",
'User Inputs'!$D$93="PTC",
H$6&gt;=1,
H$6&lt;=MIN('User Inputs'!$D$95,'User Inputs'!$F$19)),
H9*'User Inputs'!$B$95*'User Inputs'!$F$95,
0)</f>
        <v>0</v>
      </c>
      <c r="I52" s="180">
        <f ca="1">IF(AND(
OR('User Inputs'!$F$8="Tier 1 RE",'User Inputs'!$F$8="TIER 1 RE + Storage"),
'User Inputs'!$B$93="Yes - Generation and/or Storage",
'User Inputs'!$D$93="PTC",
I$6&gt;=1,
I$6&lt;=MIN('User Inputs'!$D$95,'User Inputs'!$F$19)),
I9*'User Inputs'!$B$95*'User Inputs'!$F$95,
0)</f>
        <v>0</v>
      </c>
      <c r="J52" s="180">
        <f ca="1">IF(AND(
OR('User Inputs'!$F$8="Tier 1 RE",'User Inputs'!$F$8="TIER 1 RE + Storage"),
'User Inputs'!$B$93="Yes - Generation and/or Storage",
'User Inputs'!$D$93="PTC",
J$6&gt;=1,
J$6&lt;=MIN('User Inputs'!$D$95,'User Inputs'!$F$19)),
J9*'User Inputs'!$B$95*'User Inputs'!$F$95,
0)</f>
        <v>0</v>
      </c>
      <c r="K52" s="180">
        <f ca="1">IF(AND(
OR('User Inputs'!$F$8="Tier 1 RE",'User Inputs'!$F$8="TIER 1 RE + Storage"),
'User Inputs'!$B$93="Yes - Generation and/or Storage",
'User Inputs'!$D$93="PTC",
K$6&gt;=1,
K$6&lt;=MIN('User Inputs'!$D$95,'User Inputs'!$F$19)),
K9*'User Inputs'!$B$95*'User Inputs'!$F$95,
0)</f>
        <v>0</v>
      </c>
      <c r="L52" s="180">
        <f ca="1">IF(AND(
OR('User Inputs'!$F$8="Tier 1 RE",'User Inputs'!$F$8="TIER 1 RE + Storage"),
'User Inputs'!$B$93="Yes - Generation and/or Storage",
'User Inputs'!$D$93="PTC",
L$6&gt;=1,
L$6&lt;=MIN('User Inputs'!$D$95,'User Inputs'!$F$19)),
L9*'User Inputs'!$B$95*'User Inputs'!$F$95,
0)</f>
        <v>0</v>
      </c>
      <c r="M52" s="180">
        <f ca="1">IF(AND(
OR('User Inputs'!$F$8="Tier 1 RE",'User Inputs'!$F$8="TIER 1 RE + Storage"),
'User Inputs'!$B$93="Yes - Generation and/or Storage",
'User Inputs'!$D$93="PTC",
M$6&gt;=1,
M$6&lt;=MIN('User Inputs'!$D$95,'User Inputs'!$F$19)),
M9*'User Inputs'!$B$95*'User Inputs'!$F$95,
0)</f>
        <v>0</v>
      </c>
      <c r="N52" s="180">
        <f ca="1">IF(AND(
OR('User Inputs'!$F$8="Tier 1 RE",'User Inputs'!$F$8="TIER 1 RE + Storage"),
'User Inputs'!$B$93="Yes - Generation and/or Storage",
'User Inputs'!$D$93="PTC",
N$6&gt;=1,
N$6&lt;=MIN('User Inputs'!$D$95,'User Inputs'!$F$19)),
N9*'User Inputs'!$B$95*'User Inputs'!$F$95,
0)</f>
        <v>0</v>
      </c>
      <c r="O52" s="180">
        <f ca="1">IF(AND(
OR('User Inputs'!$F$8="Tier 1 RE",'User Inputs'!$F$8="TIER 1 RE + Storage"),
'User Inputs'!$B$93="Yes - Generation and/or Storage",
'User Inputs'!$D$93="PTC",
O$6&gt;=1,
O$6&lt;=MIN('User Inputs'!$D$95,'User Inputs'!$F$19)),
O9*'User Inputs'!$B$95*'User Inputs'!$F$95,
0)</f>
        <v>0</v>
      </c>
      <c r="P52" s="180">
        <f ca="1">IF(AND(
OR('User Inputs'!$F$8="Tier 1 RE",'User Inputs'!$F$8="TIER 1 RE + Storage"),
'User Inputs'!$B$93="Yes - Generation and/or Storage",
'User Inputs'!$D$93="PTC",
P$6&gt;=1,
P$6&lt;=MIN('User Inputs'!$D$95,'User Inputs'!$F$19)),
P9*'User Inputs'!$B$95*'User Inputs'!$F$95,
0)</f>
        <v>0</v>
      </c>
      <c r="Q52" s="180">
        <f ca="1">IF(AND(
OR('User Inputs'!$F$8="Tier 1 RE",'User Inputs'!$F$8="TIER 1 RE + Storage"),
'User Inputs'!$B$93="Yes - Generation and/or Storage",
'User Inputs'!$D$93="PTC",
Q$6&gt;=1,
Q$6&lt;=MIN('User Inputs'!$D$95,'User Inputs'!$F$19)),
Q9*'User Inputs'!$B$95*'User Inputs'!$F$95,
0)</f>
        <v>0</v>
      </c>
      <c r="R52" s="180">
        <f ca="1">IF(AND(
OR('User Inputs'!$F$8="Tier 1 RE",'User Inputs'!$F$8="TIER 1 RE + Storage"),
'User Inputs'!$B$93="Yes - Generation and/or Storage",
'User Inputs'!$D$93="PTC",
R$6&gt;=1,
R$6&lt;=MIN('User Inputs'!$D$95,'User Inputs'!$F$19)),
R9*'User Inputs'!$B$95*'User Inputs'!$F$95,
0)</f>
        <v>0</v>
      </c>
      <c r="S52" s="180">
        <f ca="1">IF(AND(
OR('User Inputs'!$F$8="Tier 1 RE",'User Inputs'!$F$8="TIER 1 RE + Storage"),
'User Inputs'!$B$93="Yes - Generation and/or Storage",
'User Inputs'!$D$93="PTC",
S$6&gt;=1,
S$6&lt;=MIN('User Inputs'!$D$95,'User Inputs'!$F$19)),
S9*'User Inputs'!$B$95*'User Inputs'!$F$95,
0)</f>
        <v>0</v>
      </c>
      <c r="T52" s="180">
        <f ca="1">IF(AND(
OR('User Inputs'!$F$8="Tier 1 RE",'User Inputs'!$F$8="TIER 1 RE + Storage"),
'User Inputs'!$B$93="Yes - Generation and/or Storage",
'User Inputs'!$D$93="PTC",
T$6&gt;=1,
T$6&lt;=MIN('User Inputs'!$D$95,'User Inputs'!$F$19)),
T9*'User Inputs'!$B$95*'User Inputs'!$F$95,
0)</f>
        <v>0</v>
      </c>
      <c r="U52" s="180">
        <f ca="1">IF(AND(
OR('User Inputs'!$F$8="Tier 1 RE",'User Inputs'!$F$8="TIER 1 RE + Storage"),
'User Inputs'!$B$93="Yes - Generation and/or Storage",
'User Inputs'!$D$93="PTC",
U$6&gt;=1,
U$6&lt;=MIN('User Inputs'!$D$95,'User Inputs'!$F$19)),
U9*'User Inputs'!$B$95*'User Inputs'!$F$95,
0)</f>
        <v>0</v>
      </c>
      <c r="V52" s="180">
        <f ca="1">IF(AND(
OR('User Inputs'!$F$8="Tier 1 RE",'User Inputs'!$F$8="TIER 1 RE + Storage"),
'User Inputs'!$B$93="Yes - Generation and/or Storage",
'User Inputs'!$D$93="PTC",
V$6&gt;=1,
V$6&lt;=MIN('User Inputs'!$D$95,'User Inputs'!$F$19)),
V9*'User Inputs'!$B$95*'User Inputs'!$F$95,
0)</f>
        <v>0</v>
      </c>
      <c r="W52" s="180">
        <f ca="1">IF(AND(
OR('User Inputs'!$F$8="Tier 1 RE",'User Inputs'!$F$8="TIER 1 RE + Storage"),
'User Inputs'!$B$93="Yes - Generation and/or Storage",
'User Inputs'!$D$93="PTC",
W$6&gt;=1,
W$6&lt;=MIN('User Inputs'!$D$95,'User Inputs'!$F$19)),
W9*'User Inputs'!$B$95*'User Inputs'!$F$95,
0)</f>
        <v>0</v>
      </c>
      <c r="X52" s="180">
        <f ca="1">IF(AND(
OR('User Inputs'!$F$8="Tier 1 RE",'User Inputs'!$F$8="TIER 1 RE + Storage"),
'User Inputs'!$B$93="Yes - Generation and/or Storage",
'User Inputs'!$D$93="PTC",
X$6&gt;=1,
X$6&lt;=MIN('User Inputs'!$D$95,'User Inputs'!$F$19)),
X9*'User Inputs'!$B$95*'User Inputs'!$F$95,
0)</f>
        <v>0</v>
      </c>
      <c r="Y52" s="180">
        <f ca="1">IF(AND(
OR('User Inputs'!$F$8="Tier 1 RE",'User Inputs'!$F$8="TIER 1 RE + Storage"),
'User Inputs'!$B$93="Yes - Generation and/or Storage",
'User Inputs'!$D$93="PTC",
Y$6&gt;=1,
Y$6&lt;=MIN('User Inputs'!$D$95,'User Inputs'!$F$19)),
Y9*'User Inputs'!$B$95*'User Inputs'!$F$95,
0)</f>
        <v>0</v>
      </c>
      <c r="Z52" s="180">
        <f ca="1">IF(AND(
OR('User Inputs'!$F$8="Tier 1 RE",'User Inputs'!$F$8="TIER 1 RE + Storage"),
'User Inputs'!$B$93="Yes - Generation and/or Storage",
'User Inputs'!$D$93="PTC",
Z$6&gt;=1,
Z$6&lt;=MIN('User Inputs'!$D$95,'User Inputs'!$F$19)),
Z9*'User Inputs'!$B$95*'User Inputs'!$F$95,
0)</f>
        <v>0</v>
      </c>
      <c r="AA52" s="180">
        <f ca="1">IF(AND(
OR('User Inputs'!$F$8="Tier 1 RE",'User Inputs'!$F$8="TIER 1 RE + Storage"),
'User Inputs'!$B$93="Yes - Generation and/or Storage",
'User Inputs'!$D$93="PTC",
AA$6&gt;=1,
AA$6&lt;=MIN('User Inputs'!$D$95,'User Inputs'!$F$19)),
AA9*'User Inputs'!$B$95*'User Inputs'!$F$95,
0)</f>
        <v>0</v>
      </c>
      <c r="AB52" s="180">
        <f ca="1">IF(AND(
OR('User Inputs'!$F$8="Tier 1 RE",'User Inputs'!$F$8="TIER 1 RE + Storage"),
'User Inputs'!$B$93="Yes - Generation and/or Storage",
'User Inputs'!$D$93="PTC",
AB$6&gt;=1,
AB$6&lt;=MIN('User Inputs'!$D$95,'User Inputs'!$F$19)),
AB9*'User Inputs'!$B$95*'User Inputs'!$F$95,
0)</f>
        <v>0</v>
      </c>
      <c r="AC52" s="180">
        <f ca="1">IF(AND(
OR('User Inputs'!$F$8="Tier 1 RE",'User Inputs'!$F$8="TIER 1 RE + Storage"),
'User Inputs'!$B$93="Yes - Generation and/or Storage",
'User Inputs'!$D$93="PTC",
AC$6&gt;=1,
AC$6&lt;=MIN('User Inputs'!$D$95,'User Inputs'!$F$19)),
AC9*'User Inputs'!$B$95*'User Inputs'!$F$95,
0)</f>
        <v>0</v>
      </c>
      <c r="AD52" s="180">
        <f ca="1">IF(AND(
OR('User Inputs'!$F$8="Tier 1 RE",'User Inputs'!$F$8="TIER 1 RE + Storage"),
'User Inputs'!$B$93="Yes - Generation and/or Storage",
'User Inputs'!$D$93="PTC",
AD$6&gt;=1,
AD$6&lt;=MIN('User Inputs'!$D$95,'User Inputs'!$F$19)),
AD9*'User Inputs'!$B$95*'User Inputs'!$F$95,
0)</f>
        <v>0</v>
      </c>
      <c r="AE52" s="180">
        <f ca="1">IF(AND(
OR('User Inputs'!$F$8="Tier 1 RE",'User Inputs'!$F$8="TIER 1 RE + Storage"),
'User Inputs'!$B$93="Yes - Generation and/or Storage",
'User Inputs'!$D$93="PTC",
AE$6&gt;=1,
AE$6&lt;=MIN('User Inputs'!$D$95,'User Inputs'!$F$19)),
AE9*'User Inputs'!$B$95*'User Inputs'!$F$95,
0)</f>
        <v>0</v>
      </c>
      <c r="AF52" s="180">
        <f ca="1">IF(AND(
OR('User Inputs'!$F$8="Tier 1 RE",'User Inputs'!$F$8="TIER 1 RE + Storage"),
'User Inputs'!$B$93="Yes - Generation and/or Storage",
'User Inputs'!$D$93="PTC",
AF$6&gt;=1,
AF$6&lt;=MIN('User Inputs'!$D$95,'User Inputs'!$F$19)),
AF9*'User Inputs'!$B$95*'User Inputs'!$F$95,
0)</f>
        <v>0</v>
      </c>
      <c r="AG52" s="180">
        <f ca="1">IF(AND(
OR('User Inputs'!$F$8="Tier 1 RE",'User Inputs'!$F$8="TIER 1 RE + Storage"),
'User Inputs'!$B$93="Yes - Generation and/or Storage",
'User Inputs'!$D$93="PTC",
AG$6&gt;=1,
AG$6&lt;=MIN('User Inputs'!$D$95,'User Inputs'!$F$19)),
AG9*'User Inputs'!$B$95*'User Inputs'!$F$95,
0)</f>
        <v>0</v>
      </c>
      <c r="AH52" s="180">
        <f ca="1">IF(AND(
OR('User Inputs'!$F$8="Tier 1 RE",'User Inputs'!$F$8="TIER 1 RE + Storage"),
'User Inputs'!$B$93="Yes - Generation and/or Storage",
'User Inputs'!$D$93="PTC",
AH$6&gt;=1,
AH$6&lt;=MIN('User Inputs'!$D$95,'User Inputs'!$F$19)),
AH9*'User Inputs'!$B$95*'User Inputs'!$F$95,
0)</f>
        <v>0</v>
      </c>
      <c r="AI52" s="180">
        <f ca="1">IF(AND(
OR('User Inputs'!$F$8="Tier 1 RE",'User Inputs'!$F$8="TIER 1 RE + Storage"),
'User Inputs'!$B$93="Yes - Generation and/or Storage",
'User Inputs'!$D$93="PTC",
AI$6&gt;=1,
AI$6&lt;=MIN('User Inputs'!$D$95,'User Inputs'!$F$19)),
AI9*'User Inputs'!$B$95*'User Inputs'!$F$95,
0)</f>
        <v>0</v>
      </c>
      <c r="AJ52" s="180">
        <f ca="1">IF(AND(
OR('User Inputs'!$F$8="Tier 1 RE",'User Inputs'!$F$8="TIER 1 RE + Storage"),
'User Inputs'!$B$93="Yes - Generation and/or Storage",
'User Inputs'!$D$93="PTC",
AJ$6&gt;=1,
AJ$6&lt;=MIN('User Inputs'!$D$95,'User Inputs'!$F$19)),
AJ9*'User Inputs'!$B$95*'User Inputs'!$F$95,
0)</f>
        <v>0</v>
      </c>
      <c r="AK52" s="180">
        <f ca="1">IF(AND(
OR('User Inputs'!$F$8="Tier 1 RE",'User Inputs'!$F$8="TIER 1 RE + Storage"),
'User Inputs'!$B$93="Yes - Generation and/or Storage",
'User Inputs'!$D$93="PTC",
AK$6&gt;=1,
AK$6&lt;=MIN('User Inputs'!$D$95,'User Inputs'!$F$19)),
AK9*'User Inputs'!$B$95*'User Inputs'!$F$95,
0)</f>
        <v>0</v>
      </c>
      <c r="AL52" s="180">
        <f ca="1">IF(AND(
OR('User Inputs'!$F$8="Tier 1 RE",'User Inputs'!$F$8="TIER 1 RE + Storage"),
'User Inputs'!$B$93="Yes - Generation and/or Storage",
'User Inputs'!$D$93="PTC",
AL$6&gt;=1,
AL$6&lt;=MIN('User Inputs'!$D$95,'User Inputs'!$F$19)),
AL9*'User Inputs'!$B$95*'User Inputs'!$F$95,
0)</f>
        <v>0</v>
      </c>
      <c r="AM52" s="180">
        <f ca="1">IF(AND(
OR('User Inputs'!$F$8="Tier 1 RE",'User Inputs'!$F$8="TIER 1 RE + Storage"),
'User Inputs'!$B$93="Yes - Generation and/or Storage",
'User Inputs'!$D$93="PTC",
AM$6&gt;=1,
AM$6&lt;=MIN('User Inputs'!$D$95,'User Inputs'!$F$19)),
AM9*'User Inputs'!$B$95*'User Inputs'!$F$95,
0)</f>
        <v>0</v>
      </c>
    </row>
    <row r="53" spans="1:39" s="178" customFormat="1" ht="17.100000000000001" customHeight="1">
      <c r="A53" s="16"/>
      <c r="B53" s="182" t="s">
        <v>385</v>
      </c>
      <c r="C53" s="180">
        <f>0</f>
        <v>0</v>
      </c>
      <c r="D53" s="180">
        <f>0</f>
        <v>0</v>
      </c>
      <c r="E53" s="180">
        <f ca="1">E52</f>
        <v>0</v>
      </c>
      <c r="F53" s="180">
        <f t="shared" ref="F53:AM53" ca="1" si="12">F52</f>
        <v>0</v>
      </c>
      <c r="G53" s="180">
        <f t="shared" ca="1" si="12"/>
        <v>0</v>
      </c>
      <c r="H53" s="180">
        <f t="shared" ca="1" si="12"/>
        <v>0</v>
      </c>
      <c r="I53" s="180">
        <f t="shared" ca="1" si="12"/>
        <v>0</v>
      </c>
      <c r="J53" s="180">
        <f t="shared" ca="1" si="12"/>
        <v>0</v>
      </c>
      <c r="K53" s="180">
        <f t="shared" ca="1" si="12"/>
        <v>0</v>
      </c>
      <c r="L53" s="180">
        <f t="shared" ca="1" si="12"/>
        <v>0</v>
      </c>
      <c r="M53" s="180">
        <f t="shared" ca="1" si="12"/>
        <v>0</v>
      </c>
      <c r="N53" s="180">
        <f t="shared" ca="1" si="12"/>
        <v>0</v>
      </c>
      <c r="O53" s="180">
        <f t="shared" ca="1" si="12"/>
        <v>0</v>
      </c>
      <c r="P53" s="180">
        <f t="shared" ca="1" si="12"/>
        <v>0</v>
      </c>
      <c r="Q53" s="180">
        <f t="shared" ca="1" si="12"/>
        <v>0</v>
      </c>
      <c r="R53" s="180">
        <f t="shared" ca="1" si="12"/>
        <v>0</v>
      </c>
      <c r="S53" s="180">
        <f t="shared" ca="1" si="12"/>
        <v>0</v>
      </c>
      <c r="T53" s="180">
        <f t="shared" ca="1" si="12"/>
        <v>0</v>
      </c>
      <c r="U53" s="180">
        <f t="shared" ca="1" si="12"/>
        <v>0</v>
      </c>
      <c r="V53" s="180">
        <f t="shared" ca="1" si="12"/>
        <v>0</v>
      </c>
      <c r="W53" s="180">
        <f t="shared" ca="1" si="12"/>
        <v>0</v>
      </c>
      <c r="X53" s="180">
        <f t="shared" ca="1" si="12"/>
        <v>0</v>
      </c>
      <c r="Y53" s="180">
        <f t="shared" ca="1" si="12"/>
        <v>0</v>
      </c>
      <c r="Z53" s="180">
        <f t="shared" ca="1" si="12"/>
        <v>0</v>
      </c>
      <c r="AA53" s="180">
        <f t="shared" ca="1" si="12"/>
        <v>0</v>
      </c>
      <c r="AB53" s="180">
        <f t="shared" ca="1" si="12"/>
        <v>0</v>
      </c>
      <c r="AC53" s="180">
        <f t="shared" ca="1" si="12"/>
        <v>0</v>
      </c>
      <c r="AD53" s="180">
        <f t="shared" ca="1" si="12"/>
        <v>0</v>
      </c>
      <c r="AE53" s="180">
        <f t="shared" ca="1" si="12"/>
        <v>0</v>
      </c>
      <c r="AF53" s="180">
        <f t="shared" ca="1" si="12"/>
        <v>0</v>
      </c>
      <c r="AG53" s="180">
        <f t="shared" ca="1" si="12"/>
        <v>0</v>
      </c>
      <c r="AH53" s="180">
        <f t="shared" ca="1" si="12"/>
        <v>0</v>
      </c>
      <c r="AI53" s="180">
        <f t="shared" ca="1" si="12"/>
        <v>0</v>
      </c>
      <c r="AJ53" s="180">
        <f t="shared" ca="1" si="12"/>
        <v>0</v>
      </c>
      <c r="AK53" s="180">
        <f t="shared" ca="1" si="12"/>
        <v>0</v>
      </c>
      <c r="AL53" s="180">
        <f t="shared" ca="1" si="12"/>
        <v>0</v>
      </c>
      <c r="AM53" s="180">
        <f t="shared" ca="1" si="12"/>
        <v>0</v>
      </c>
    </row>
    <row r="54" spans="1:39" s="178" customFormat="1" ht="17.100000000000001" customHeight="1">
      <c r="A54" s="16"/>
      <c r="B54" s="182" t="s">
        <v>386</v>
      </c>
      <c r="C54" s="180">
        <f>0</f>
        <v>0</v>
      </c>
      <c r="D54" s="180">
        <f>0</f>
        <v>0</v>
      </c>
      <c r="E54" s="180">
        <f ca="1">IF(AND(E$6=1,E$6&lt;='User Inputs'!$F$19),'User Inputs'!$B$104,0)</f>
        <v>0</v>
      </c>
      <c r="F54" s="180">
        <f ca="1">IF(AND(F$6=1,F$6&lt;='User Inputs'!$F$19),'User Inputs'!$B$104,0)</f>
        <v>0</v>
      </c>
      <c r="G54" s="180">
        <f ca="1">IF(AND(G$6=1,G$6&lt;='User Inputs'!$F$19),'User Inputs'!$B$104,0)</f>
        <v>0</v>
      </c>
      <c r="H54" s="180">
        <f ca="1">IF(AND(H$6=1,H$6&lt;='User Inputs'!$F$19),'User Inputs'!$B$104,0)</f>
        <v>0</v>
      </c>
      <c r="I54" s="180">
        <f ca="1">IF(AND(I$6=1,I$6&lt;='User Inputs'!$F$19),'User Inputs'!$B$104,0)</f>
        <v>0</v>
      </c>
      <c r="J54" s="180">
        <f ca="1">IF(AND(J$6=1,J$6&lt;='User Inputs'!$F$19),'User Inputs'!$B$104,0)</f>
        <v>0</v>
      </c>
      <c r="K54" s="180">
        <f ca="1">IF(AND(K$6=1,K$6&lt;='User Inputs'!$F$19),'User Inputs'!$B$104,0)</f>
        <v>0</v>
      </c>
      <c r="L54" s="180">
        <f ca="1">IF(AND(L$6=1,L$6&lt;='User Inputs'!$F$19),'User Inputs'!$B$104,0)</f>
        <v>0</v>
      </c>
      <c r="M54" s="180">
        <f ca="1">IF(AND(M$6=1,M$6&lt;='User Inputs'!$F$19),'User Inputs'!$B$104,0)</f>
        <v>0</v>
      </c>
      <c r="N54" s="180">
        <f ca="1">IF(AND(N$6=1,N$6&lt;='User Inputs'!$F$19),'User Inputs'!$B$104,0)</f>
        <v>0</v>
      </c>
      <c r="O54" s="180">
        <f ca="1">IF(AND(O$6=1,O$6&lt;='User Inputs'!$F$19),'User Inputs'!$B$104,0)</f>
        <v>0</v>
      </c>
      <c r="P54" s="180">
        <f ca="1">IF(AND(P$6=1,P$6&lt;='User Inputs'!$F$19),'User Inputs'!$B$104,0)</f>
        <v>0</v>
      </c>
      <c r="Q54" s="180">
        <f ca="1">IF(AND(Q$6=1,Q$6&lt;='User Inputs'!$F$19),'User Inputs'!$B$104,0)</f>
        <v>0</v>
      </c>
      <c r="R54" s="180">
        <f ca="1">IF(AND(R$6=1,R$6&lt;='User Inputs'!$F$19),'User Inputs'!$B$104,0)</f>
        <v>0</v>
      </c>
      <c r="S54" s="180">
        <f ca="1">IF(AND(S$6=1,S$6&lt;='User Inputs'!$F$19),'User Inputs'!$B$104,0)</f>
        <v>0</v>
      </c>
      <c r="T54" s="180">
        <f ca="1">IF(AND(T$6=1,T$6&lt;='User Inputs'!$F$19),'User Inputs'!$B$104,0)</f>
        <v>0</v>
      </c>
      <c r="U54" s="180">
        <f ca="1">IF(AND(U$6=1,U$6&lt;='User Inputs'!$F$19),'User Inputs'!$B$104,0)</f>
        <v>0</v>
      </c>
      <c r="V54" s="180">
        <f ca="1">IF(AND(V$6=1,V$6&lt;='User Inputs'!$F$19),'User Inputs'!$B$104,0)</f>
        <v>0</v>
      </c>
      <c r="W54" s="180">
        <f ca="1">IF(AND(W$6=1,W$6&lt;='User Inputs'!$F$19),'User Inputs'!$B$104,0)</f>
        <v>0</v>
      </c>
      <c r="X54" s="180">
        <f ca="1">IF(AND(X$6=1,X$6&lt;='User Inputs'!$F$19),'User Inputs'!$B$104,0)</f>
        <v>0</v>
      </c>
      <c r="Y54" s="180">
        <f ca="1">IF(AND(Y$6=1,Y$6&lt;='User Inputs'!$F$19),'User Inputs'!$B$104,0)</f>
        <v>0</v>
      </c>
      <c r="Z54" s="180">
        <f ca="1">IF(AND(Z$6=1,Z$6&lt;='User Inputs'!$F$19),'User Inputs'!$B$104,0)</f>
        <v>0</v>
      </c>
      <c r="AA54" s="180">
        <f ca="1">IF(AND(AA$6=1,AA$6&lt;='User Inputs'!$F$19),'User Inputs'!$B$104,0)</f>
        <v>0</v>
      </c>
      <c r="AB54" s="180">
        <f ca="1">IF(AND(AB$6=1,AB$6&lt;='User Inputs'!$F$19),'User Inputs'!$B$104,0)</f>
        <v>0</v>
      </c>
      <c r="AC54" s="180">
        <f ca="1">IF(AND(AC$6=1,AC$6&lt;='User Inputs'!$F$19),'User Inputs'!$B$104,0)</f>
        <v>0</v>
      </c>
      <c r="AD54" s="180">
        <f ca="1">IF(AND(AD$6=1,AD$6&lt;='User Inputs'!$F$19),'User Inputs'!$B$104,0)</f>
        <v>0</v>
      </c>
      <c r="AE54" s="180">
        <f ca="1">IF(AND(AE$6=1,AE$6&lt;='User Inputs'!$F$19),'User Inputs'!$B$104,0)</f>
        <v>0</v>
      </c>
      <c r="AF54" s="180">
        <f ca="1">IF(AND(AF$6=1,AF$6&lt;='User Inputs'!$F$19),'User Inputs'!$B$104,0)</f>
        <v>0</v>
      </c>
      <c r="AG54" s="180">
        <f ca="1">IF(AND(AG$6=1,AG$6&lt;='User Inputs'!$F$19),'User Inputs'!$B$104,0)</f>
        <v>0</v>
      </c>
      <c r="AH54" s="180">
        <f ca="1">IF(AND(AH$6=1,AH$6&lt;='User Inputs'!$F$19),'User Inputs'!$B$104,0)</f>
        <v>0</v>
      </c>
      <c r="AI54" s="180">
        <f ca="1">IF(AND(AI$6=1,AI$6&lt;='User Inputs'!$F$19),'User Inputs'!$B$104,0)</f>
        <v>0</v>
      </c>
      <c r="AJ54" s="180">
        <f ca="1">IF(AND(AJ$6=1,AJ$6&lt;='User Inputs'!$F$19),'User Inputs'!$B$104,0)</f>
        <v>0</v>
      </c>
      <c r="AK54" s="180">
        <f ca="1">IF(AND(AK$6=1,AK$6&lt;='User Inputs'!$F$19),'User Inputs'!$B$104,0)</f>
        <v>0</v>
      </c>
      <c r="AL54" s="180">
        <f ca="1">IF(AND(AL$6=1,AL$6&lt;='User Inputs'!$F$19),'User Inputs'!$B$104,0)</f>
        <v>0</v>
      </c>
      <c r="AM54" s="180">
        <f ca="1">IF(AND(AM$6=1,AM$6&lt;='User Inputs'!$F$19),'User Inputs'!$B$104,0)</f>
        <v>0</v>
      </c>
    </row>
    <row r="55" spans="1:39" ht="23.45">
      <c r="A55" s="16"/>
      <c r="B55" s="167"/>
      <c r="C55" s="181"/>
      <c r="D55" s="181"/>
      <c r="E55" s="181"/>
      <c r="F55" s="181"/>
      <c r="G55" s="181"/>
      <c r="H55" s="181"/>
      <c r="I55" s="181"/>
      <c r="J55" s="181"/>
      <c r="K55" s="181"/>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row>
    <row r="56" spans="1:39" ht="22.35" customHeight="1">
      <c r="A56" s="16"/>
      <c r="B56" s="174" t="s">
        <v>387</v>
      </c>
      <c r="C56" s="175"/>
      <c r="D56" s="175"/>
      <c r="E56" s="175"/>
      <c r="F56" s="175"/>
      <c r="G56" s="175"/>
      <c r="H56" s="175"/>
      <c r="I56" s="175"/>
      <c r="J56" s="175"/>
      <c r="K56" s="175"/>
      <c r="L56" s="175"/>
      <c r="M56" s="175"/>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row>
    <row r="57" spans="1:39" s="178" customFormat="1" ht="17.100000000000001" customHeight="1">
      <c r="A57" s="16"/>
      <c r="B57" s="188" t="s">
        <v>388</v>
      </c>
      <c r="C57" s="187">
        <f>-'User Inputs'!$D$111</f>
        <v>0</v>
      </c>
      <c r="D57" s="187">
        <f>0</f>
        <v>0</v>
      </c>
      <c r="E57" s="187">
        <f t="shared" ref="E57:AM57" ca="1" si="13">E36-E46+E50+E52</f>
        <v>0</v>
      </c>
      <c r="F57" s="187">
        <f t="shared" ca="1" si="13"/>
        <v>0</v>
      </c>
      <c r="G57" s="187">
        <f t="shared" ca="1" si="13"/>
        <v>0</v>
      </c>
      <c r="H57" s="187">
        <f t="shared" ca="1" si="13"/>
        <v>0</v>
      </c>
      <c r="I57" s="187">
        <f t="shared" ca="1" si="13"/>
        <v>0</v>
      </c>
      <c r="J57" s="187">
        <f t="shared" ca="1" si="13"/>
        <v>0</v>
      </c>
      <c r="K57" s="187">
        <f t="shared" ca="1" si="13"/>
        <v>0</v>
      </c>
      <c r="L57" s="187">
        <f t="shared" ca="1" si="13"/>
        <v>0</v>
      </c>
      <c r="M57" s="187">
        <f t="shared" ca="1" si="13"/>
        <v>0</v>
      </c>
      <c r="N57" s="187">
        <f t="shared" ca="1" si="13"/>
        <v>0</v>
      </c>
      <c r="O57" s="187">
        <f t="shared" ca="1" si="13"/>
        <v>0</v>
      </c>
      <c r="P57" s="187">
        <f t="shared" ca="1" si="13"/>
        <v>0</v>
      </c>
      <c r="Q57" s="187">
        <f t="shared" ca="1" si="13"/>
        <v>0</v>
      </c>
      <c r="R57" s="187">
        <f t="shared" ca="1" si="13"/>
        <v>0</v>
      </c>
      <c r="S57" s="187">
        <f t="shared" ca="1" si="13"/>
        <v>0</v>
      </c>
      <c r="T57" s="187">
        <f t="shared" ca="1" si="13"/>
        <v>0</v>
      </c>
      <c r="U57" s="187">
        <f t="shared" ca="1" si="13"/>
        <v>0</v>
      </c>
      <c r="V57" s="187">
        <f t="shared" ca="1" si="13"/>
        <v>0</v>
      </c>
      <c r="W57" s="187">
        <f t="shared" ca="1" si="13"/>
        <v>0</v>
      </c>
      <c r="X57" s="187">
        <f t="shared" ca="1" si="13"/>
        <v>0</v>
      </c>
      <c r="Y57" s="187">
        <f t="shared" ca="1" si="13"/>
        <v>0</v>
      </c>
      <c r="Z57" s="187">
        <f t="shared" ca="1" si="13"/>
        <v>0</v>
      </c>
      <c r="AA57" s="187">
        <f t="shared" ca="1" si="13"/>
        <v>0</v>
      </c>
      <c r="AB57" s="187">
        <f t="shared" ca="1" si="13"/>
        <v>0</v>
      </c>
      <c r="AC57" s="187">
        <f t="shared" ca="1" si="13"/>
        <v>0</v>
      </c>
      <c r="AD57" s="187">
        <f t="shared" ca="1" si="13"/>
        <v>0</v>
      </c>
      <c r="AE57" s="187">
        <f t="shared" ca="1" si="13"/>
        <v>0</v>
      </c>
      <c r="AF57" s="187">
        <f t="shared" ca="1" si="13"/>
        <v>0</v>
      </c>
      <c r="AG57" s="187">
        <f t="shared" ca="1" si="13"/>
        <v>0</v>
      </c>
      <c r="AH57" s="187">
        <f t="shared" ca="1" si="13"/>
        <v>0</v>
      </c>
      <c r="AI57" s="187">
        <f t="shared" ca="1" si="13"/>
        <v>0</v>
      </c>
      <c r="AJ57" s="187">
        <f t="shared" ca="1" si="13"/>
        <v>0</v>
      </c>
      <c r="AK57" s="187">
        <f t="shared" ca="1" si="13"/>
        <v>0</v>
      </c>
      <c r="AL57" s="187">
        <f t="shared" ca="1" si="13"/>
        <v>0</v>
      </c>
      <c r="AM57" s="187">
        <f t="shared" ca="1" si="13"/>
        <v>0</v>
      </c>
    </row>
    <row r="58" spans="1:39" s="178" customFormat="1" ht="17.100000000000001" customHeight="1">
      <c r="A58" s="16"/>
      <c r="B58" s="188" t="s">
        <v>389</v>
      </c>
      <c r="C58" s="187">
        <f>-'User Inputs'!$D$111</f>
        <v>0</v>
      </c>
      <c r="D58" s="187">
        <f>0</f>
        <v>0</v>
      </c>
      <c r="E58" s="187">
        <f t="shared" ref="E58:AM58" ca="1" si="14">E36-E48+E51+E53+E54</f>
        <v>0</v>
      </c>
      <c r="F58" s="187">
        <f t="shared" ca="1" si="14"/>
        <v>0</v>
      </c>
      <c r="G58" s="187">
        <f t="shared" ca="1" si="14"/>
        <v>0</v>
      </c>
      <c r="H58" s="187">
        <f t="shared" ca="1" si="14"/>
        <v>0</v>
      </c>
      <c r="I58" s="187">
        <f t="shared" ca="1" si="14"/>
        <v>0</v>
      </c>
      <c r="J58" s="187">
        <f t="shared" ca="1" si="14"/>
        <v>0</v>
      </c>
      <c r="K58" s="187">
        <f t="shared" ca="1" si="14"/>
        <v>0</v>
      </c>
      <c r="L58" s="187">
        <f t="shared" ca="1" si="14"/>
        <v>0</v>
      </c>
      <c r="M58" s="187">
        <f t="shared" ca="1" si="14"/>
        <v>0</v>
      </c>
      <c r="N58" s="187">
        <f t="shared" ca="1" si="14"/>
        <v>0</v>
      </c>
      <c r="O58" s="187">
        <f t="shared" ca="1" si="14"/>
        <v>0</v>
      </c>
      <c r="P58" s="187">
        <f t="shared" ca="1" si="14"/>
        <v>0</v>
      </c>
      <c r="Q58" s="187">
        <f t="shared" ca="1" si="14"/>
        <v>0</v>
      </c>
      <c r="R58" s="187">
        <f t="shared" ca="1" si="14"/>
        <v>0</v>
      </c>
      <c r="S58" s="187">
        <f t="shared" ca="1" si="14"/>
        <v>0</v>
      </c>
      <c r="T58" s="187">
        <f t="shared" ca="1" si="14"/>
        <v>0</v>
      </c>
      <c r="U58" s="187">
        <f t="shared" ca="1" si="14"/>
        <v>0</v>
      </c>
      <c r="V58" s="187">
        <f t="shared" ca="1" si="14"/>
        <v>0</v>
      </c>
      <c r="W58" s="187">
        <f t="shared" ca="1" si="14"/>
        <v>0</v>
      </c>
      <c r="X58" s="187">
        <f t="shared" ca="1" si="14"/>
        <v>0</v>
      </c>
      <c r="Y58" s="187">
        <f t="shared" ca="1" si="14"/>
        <v>0</v>
      </c>
      <c r="Z58" s="187">
        <f t="shared" ca="1" si="14"/>
        <v>0</v>
      </c>
      <c r="AA58" s="187">
        <f t="shared" ca="1" si="14"/>
        <v>0</v>
      </c>
      <c r="AB58" s="187">
        <f t="shared" ca="1" si="14"/>
        <v>0</v>
      </c>
      <c r="AC58" s="187">
        <f t="shared" ca="1" si="14"/>
        <v>0</v>
      </c>
      <c r="AD58" s="187">
        <f t="shared" ca="1" si="14"/>
        <v>0</v>
      </c>
      <c r="AE58" s="187">
        <f t="shared" ca="1" si="14"/>
        <v>0</v>
      </c>
      <c r="AF58" s="187">
        <f t="shared" ca="1" si="14"/>
        <v>0</v>
      </c>
      <c r="AG58" s="187">
        <f t="shared" ca="1" si="14"/>
        <v>0</v>
      </c>
      <c r="AH58" s="187">
        <f t="shared" ca="1" si="14"/>
        <v>0</v>
      </c>
      <c r="AI58" s="187">
        <f t="shared" ca="1" si="14"/>
        <v>0</v>
      </c>
      <c r="AJ58" s="187">
        <f t="shared" ca="1" si="14"/>
        <v>0</v>
      </c>
      <c r="AK58" s="187">
        <f t="shared" ca="1" si="14"/>
        <v>0</v>
      </c>
      <c r="AL58" s="187">
        <f t="shared" ca="1" si="14"/>
        <v>0</v>
      </c>
      <c r="AM58" s="187">
        <f t="shared" ca="1" si="14"/>
        <v>0</v>
      </c>
    </row>
    <row r="59" spans="1:39" s="178" customFormat="1" ht="17.100000000000001" customHeight="1">
      <c r="A59" s="16"/>
      <c r="B59" s="188" t="s">
        <v>390</v>
      </c>
      <c r="C59" s="187">
        <f>-'User Inputs'!$D$113</f>
        <v>0</v>
      </c>
      <c r="D59" s="187">
        <f>0</f>
        <v>0</v>
      </c>
      <c r="E59" s="187">
        <f t="shared" ref="E59:AM59" ca="1" si="15">E57-E44</f>
        <v>0</v>
      </c>
      <c r="F59" s="187">
        <f t="shared" ca="1" si="15"/>
        <v>0</v>
      </c>
      <c r="G59" s="187">
        <f t="shared" ca="1" si="15"/>
        <v>0</v>
      </c>
      <c r="H59" s="187">
        <f t="shared" ca="1" si="15"/>
        <v>0</v>
      </c>
      <c r="I59" s="187">
        <f t="shared" ca="1" si="15"/>
        <v>0</v>
      </c>
      <c r="J59" s="187">
        <f t="shared" ca="1" si="15"/>
        <v>0</v>
      </c>
      <c r="K59" s="187">
        <f t="shared" ca="1" si="15"/>
        <v>0</v>
      </c>
      <c r="L59" s="187">
        <f t="shared" ca="1" si="15"/>
        <v>0</v>
      </c>
      <c r="M59" s="187">
        <f t="shared" ca="1" si="15"/>
        <v>0</v>
      </c>
      <c r="N59" s="187">
        <f t="shared" ca="1" si="15"/>
        <v>0</v>
      </c>
      <c r="O59" s="187">
        <f t="shared" ca="1" si="15"/>
        <v>0</v>
      </c>
      <c r="P59" s="187">
        <f t="shared" ca="1" si="15"/>
        <v>0</v>
      </c>
      <c r="Q59" s="187">
        <f t="shared" ca="1" si="15"/>
        <v>0</v>
      </c>
      <c r="R59" s="187">
        <f t="shared" ca="1" si="15"/>
        <v>0</v>
      </c>
      <c r="S59" s="187">
        <f t="shared" ca="1" si="15"/>
        <v>0</v>
      </c>
      <c r="T59" s="187">
        <f t="shared" ca="1" si="15"/>
        <v>0</v>
      </c>
      <c r="U59" s="187">
        <f t="shared" ca="1" si="15"/>
        <v>0</v>
      </c>
      <c r="V59" s="187">
        <f t="shared" ca="1" si="15"/>
        <v>0</v>
      </c>
      <c r="W59" s="187">
        <f t="shared" ca="1" si="15"/>
        <v>0</v>
      </c>
      <c r="X59" s="187">
        <f t="shared" ca="1" si="15"/>
        <v>0</v>
      </c>
      <c r="Y59" s="187">
        <f t="shared" ca="1" si="15"/>
        <v>0</v>
      </c>
      <c r="Z59" s="187">
        <f t="shared" ca="1" si="15"/>
        <v>0</v>
      </c>
      <c r="AA59" s="187">
        <f t="shared" ca="1" si="15"/>
        <v>0</v>
      </c>
      <c r="AB59" s="187">
        <f t="shared" ca="1" si="15"/>
        <v>0</v>
      </c>
      <c r="AC59" s="187">
        <f t="shared" ca="1" si="15"/>
        <v>0</v>
      </c>
      <c r="AD59" s="187">
        <f t="shared" ca="1" si="15"/>
        <v>0</v>
      </c>
      <c r="AE59" s="187">
        <f t="shared" ca="1" si="15"/>
        <v>0</v>
      </c>
      <c r="AF59" s="187">
        <f t="shared" ca="1" si="15"/>
        <v>0</v>
      </c>
      <c r="AG59" s="187">
        <f t="shared" ca="1" si="15"/>
        <v>0</v>
      </c>
      <c r="AH59" s="187">
        <f t="shared" ca="1" si="15"/>
        <v>0</v>
      </c>
      <c r="AI59" s="187">
        <f t="shared" ca="1" si="15"/>
        <v>0</v>
      </c>
      <c r="AJ59" s="187">
        <f t="shared" ca="1" si="15"/>
        <v>0</v>
      </c>
      <c r="AK59" s="187">
        <f t="shared" ca="1" si="15"/>
        <v>0</v>
      </c>
      <c r="AL59" s="187">
        <f t="shared" ca="1" si="15"/>
        <v>0</v>
      </c>
      <c r="AM59" s="187">
        <f t="shared" ca="1" si="15"/>
        <v>0</v>
      </c>
    </row>
    <row r="60" spans="1:39" s="178" customFormat="1" ht="17.100000000000001" customHeight="1">
      <c r="A60" s="16"/>
      <c r="B60" s="189" t="s">
        <v>391</v>
      </c>
      <c r="C60" s="190">
        <f>-'User Inputs'!$D$113</f>
        <v>0</v>
      </c>
      <c r="D60" s="187">
        <f>0</f>
        <v>0</v>
      </c>
      <c r="E60" s="190">
        <f t="shared" ref="E60:AM60" ca="1" si="16">E58-E44</f>
        <v>0</v>
      </c>
      <c r="F60" s="190">
        <f t="shared" ca="1" si="16"/>
        <v>0</v>
      </c>
      <c r="G60" s="190">
        <f t="shared" ca="1" si="16"/>
        <v>0</v>
      </c>
      <c r="H60" s="190">
        <f t="shared" ca="1" si="16"/>
        <v>0</v>
      </c>
      <c r="I60" s="190">
        <f t="shared" ca="1" si="16"/>
        <v>0</v>
      </c>
      <c r="J60" s="190">
        <f t="shared" ca="1" si="16"/>
        <v>0</v>
      </c>
      <c r="K60" s="190">
        <f t="shared" ca="1" si="16"/>
        <v>0</v>
      </c>
      <c r="L60" s="190">
        <f t="shared" ca="1" si="16"/>
        <v>0</v>
      </c>
      <c r="M60" s="190">
        <f t="shared" ca="1" si="16"/>
        <v>0</v>
      </c>
      <c r="N60" s="190">
        <f t="shared" ca="1" si="16"/>
        <v>0</v>
      </c>
      <c r="O60" s="190">
        <f t="shared" ca="1" si="16"/>
        <v>0</v>
      </c>
      <c r="P60" s="190">
        <f t="shared" ca="1" si="16"/>
        <v>0</v>
      </c>
      <c r="Q60" s="190">
        <f t="shared" ca="1" si="16"/>
        <v>0</v>
      </c>
      <c r="R60" s="190">
        <f t="shared" ca="1" si="16"/>
        <v>0</v>
      </c>
      <c r="S60" s="190">
        <f t="shared" ca="1" si="16"/>
        <v>0</v>
      </c>
      <c r="T60" s="190">
        <f t="shared" ca="1" si="16"/>
        <v>0</v>
      </c>
      <c r="U60" s="190">
        <f t="shared" ca="1" si="16"/>
        <v>0</v>
      </c>
      <c r="V60" s="190">
        <f t="shared" ca="1" si="16"/>
        <v>0</v>
      </c>
      <c r="W60" s="190">
        <f t="shared" ca="1" si="16"/>
        <v>0</v>
      </c>
      <c r="X60" s="190">
        <f t="shared" ca="1" si="16"/>
        <v>0</v>
      </c>
      <c r="Y60" s="190">
        <f t="shared" ca="1" si="16"/>
        <v>0</v>
      </c>
      <c r="Z60" s="190">
        <f t="shared" ca="1" si="16"/>
        <v>0</v>
      </c>
      <c r="AA60" s="190">
        <f t="shared" ca="1" si="16"/>
        <v>0</v>
      </c>
      <c r="AB60" s="190">
        <f t="shared" ca="1" si="16"/>
        <v>0</v>
      </c>
      <c r="AC60" s="190">
        <f t="shared" ca="1" si="16"/>
        <v>0</v>
      </c>
      <c r="AD60" s="190">
        <f t="shared" ca="1" si="16"/>
        <v>0</v>
      </c>
      <c r="AE60" s="190">
        <f t="shared" ca="1" si="16"/>
        <v>0</v>
      </c>
      <c r="AF60" s="190">
        <f t="shared" ca="1" si="16"/>
        <v>0</v>
      </c>
      <c r="AG60" s="190">
        <f t="shared" ca="1" si="16"/>
        <v>0</v>
      </c>
      <c r="AH60" s="190">
        <f t="shared" ca="1" si="16"/>
        <v>0</v>
      </c>
      <c r="AI60" s="190">
        <f t="shared" ca="1" si="16"/>
        <v>0</v>
      </c>
      <c r="AJ60" s="190">
        <f t="shared" ca="1" si="16"/>
        <v>0</v>
      </c>
      <c r="AK60" s="190">
        <f t="shared" ca="1" si="16"/>
        <v>0</v>
      </c>
      <c r="AL60" s="190">
        <f t="shared" ca="1" si="16"/>
        <v>0</v>
      </c>
      <c r="AM60" s="190">
        <f t="shared" ca="1" si="16"/>
        <v>0</v>
      </c>
    </row>
    <row r="61" spans="1:39" s="178" customFormat="1" ht="17.100000000000001" customHeight="1">
      <c r="A61" s="16"/>
      <c r="B61" s="191" t="s">
        <v>392</v>
      </c>
      <c r="C61" s="192">
        <f>0</f>
        <v>0</v>
      </c>
      <c r="D61" s="192">
        <f>0</f>
        <v>0</v>
      </c>
      <c r="E61" s="192">
        <f t="shared" ref="E61:AM61" si="17">IF(E44&gt;0,(E36-E46)/E44,0)</f>
        <v>0</v>
      </c>
      <c r="F61" s="192">
        <f t="shared" si="17"/>
        <v>0</v>
      </c>
      <c r="G61" s="192">
        <f t="shared" si="17"/>
        <v>0</v>
      </c>
      <c r="H61" s="192">
        <f t="shared" si="17"/>
        <v>0</v>
      </c>
      <c r="I61" s="192">
        <f t="shared" si="17"/>
        <v>0</v>
      </c>
      <c r="J61" s="192">
        <f t="shared" si="17"/>
        <v>0</v>
      </c>
      <c r="K61" s="192">
        <f t="shared" si="17"/>
        <v>0</v>
      </c>
      <c r="L61" s="192">
        <f t="shared" si="17"/>
        <v>0</v>
      </c>
      <c r="M61" s="192">
        <f t="shared" si="17"/>
        <v>0</v>
      </c>
      <c r="N61" s="192">
        <f t="shared" si="17"/>
        <v>0</v>
      </c>
      <c r="O61" s="192">
        <f t="shared" si="17"/>
        <v>0</v>
      </c>
      <c r="P61" s="192">
        <f t="shared" si="17"/>
        <v>0</v>
      </c>
      <c r="Q61" s="192">
        <f t="shared" si="17"/>
        <v>0</v>
      </c>
      <c r="R61" s="192">
        <f t="shared" si="17"/>
        <v>0</v>
      </c>
      <c r="S61" s="192">
        <f t="shared" si="17"/>
        <v>0</v>
      </c>
      <c r="T61" s="192">
        <f t="shared" si="17"/>
        <v>0</v>
      </c>
      <c r="U61" s="192">
        <f t="shared" si="17"/>
        <v>0</v>
      </c>
      <c r="V61" s="192">
        <f t="shared" si="17"/>
        <v>0</v>
      </c>
      <c r="W61" s="192">
        <f t="shared" si="17"/>
        <v>0</v>
      </c>
      <c r="X61" s="192">
        <f t="shared" si="17"/>
        <v>0</v>
      </c>
      <c r="Y61" s="192">
        <f t="shared" si="17"/>
        <v>0</v>
      </c>
      <c r="Z61" s="192">
        <f t="shared" si="17"/>
        <v>0</v>
      </c>
      <c r="AA61" s="192">
        <f t="shared" si="17"/>
        <v>0</v>
      </c>
      <c r="AB61" s="192">
        <f t="shared" si="17"/>
        <v>0</v>
      </c>
      <c r="AC61" s="192">
        <f t="shared" si="17"/>
        <v>0</v>
      </c>
      <c r="AD61" s="192">
        <f t="shared" si="17"/>
        <v>0</v>
      </c>
      <c r="AE61" s="192">
        <f t="shared" si="17"/>
        <v>0</v>
      </c>
      <c r="AF61" s="192">
        <f t="shared" si="17"/>
        <v>0</v>
      </c>
      <c r="AG61" s="192">
        <f t="shared" si="17"/>
        <v>0</v>
      </c>
      <c r="AH61" s="192">
        <f t="shared" si="17"/>
        <v>0</v>
      </c>
      <c r="AI61" s="192">
        <f t="shared" si="17"/>
        <v>0</v>
      </c>
      <c r="AJ61" s="192">
        <f t="shared" si="17"/>
        <v>0</v>
      </c>
      <c r="AK61" s="192">
        <f t="shared" si="17"/>
        <v>0</v>
      </c>
      <c r="AL61" s="192">
        <f t="shared" si="17"/>
        <v>0</v>
      </c>
      <c r="AM61" s="192">
        <f t="shared" si="17"/>
        <v>0</v>
      </c>
    </row>
    <row r="62" spans="1:39" s="178" customFormat="1" ht="17.100000000000001" customHeight="1">
      <c r="A62" s="16"/>
      <c r="B62" s="193" t="s">
        <v>393</v>
      </c>
      <c r="C62" s="194">
        <f>0</f>
        <v>0</v>
      </c>
      <c r="D62" s="194">
        <f>0</f>
        <v>0</v>
      </c>
      <c r="E62" s="194">
        <f t="shared" ref="E62:AM62" si="18">IF(E44&gt;0,(E36-E48)/E44,0)</f>
        <v>0</v>
      </c>
      <c r="F62" s="194">
        <f t="shared" si="18"/>
        <v>0</v>
      </c>
      <c r="G62" s="194">
        <f t="shared" si="18"/>
        <v>0</v>
      </c>
      <c r="H62" s="194">
        <f t="shared" si="18"/>
        <v>0</v>
      </c>
      <c r="I62" s="194">
        <f t="shared" si="18"/>
        <v>0</v>
      </c>
      <c r="J62" s="194">
        <f t="shared" si="18"/>
        <v>0</v>
      </c>
      <c r="K62" s="194">
        <f t="shared" si="18"/>
        <v>0</v>
      </c>
      <c r="L62" s="194">
        <f t="shared" si="18"/>
        <v>0</v>
      </c>
      <c r="M62" s="194">
        <f t="shared" si="18"/>
        <v>0</v>
      </c>
      <c r="N62" s="194">
        <f t="shared" si="18"/>
        <v>0</v>
      </c>
      <c r="O62" s="194">
        <f t="shared" si="18"/>
        <v>0</v>
      </c>
      <c r="P62" s="194">
        <f t="shared" si="18"/>
        <v>0</v>
      </c>
      <c r="Q62" s="194">
        <f t="shared" si="18"/>
        <v>0</v>
      </c>
      <c r="R62" s="194">
        <f t="shared" si="18"/>
        <v>0</v>
      </c>
      <c r="S62" s="194">
        <f t="shared" si="18"/>
        <v>0</v>
      </c>
      <c r="T62" s="194">
        <f t="shared" si="18"/>
        <v>0</v>
      </c>
      <c r="U62" s="194">
        <f t="shared" si="18"/>
        <v>0</v>
      </c>
      <c r="V62" s="194">
        <f t="shared" si="18"/>
        <v>0</v>
      </c>
      <c r="W62" s="194">
        <f t="shared" si="18"/>
        <v>0</v>
      </c>
      <c r="X62" s="194">
        <f t="shared" si="18"/>
        <v>0</v>
      </c>
      <c r="Y62" s="194">
        <f t="shared" si="18"/>
        <v>0</v>
      </c>
      <c r="Z62" s="194">
        <f t="shared" si="18"/>
        <v>0</v>
      </c>
      <c r="AA62" s="194">
        <f t="shared" si="18"/>
        <v>0</v>
      </c>
      <c r="AB62" s="194">
        <f t="shared" si="18"/>
        <v>0</v>
      </c>
      <c r="AC62" s="194">
        <f t="shared" si="18"/>
        <v>0</v>
      </c>
      <c r="AD62" s="194">
        <f t="shared" si="18"/>
        <v>0</v>
      </c>
      <c r="AE62" s="194">
        <f t="shared" si="18"/>
        <v>0</v>
      </c>
      <c r="AF62" s="194">
        <f t="shared" si="18"/>
        <v>0</v>
      </c>
      <c r="AG62" s="194">
        <f t="shared" si="18"/>
        <v>0</v>
      </c>
      <c r="AH62" s="194">
        <f t="shared" si="18"/>
        <v>0</v>
      </c>
      <c r="AI62" s="194">
        <f t="shared" si="18"/>
        <v>0</v>
      </c>
      <c r="AJ62" s="194">
        <f t="shared" si="18"/>
        <v>0</v>
      </c>
      <c r="AK62" s="194">
        <f t="shared" si="18"/>
        <v>0</v>
      </c>
      <c r="AL62" s="194">
        <f t="shared" si="18"/>
        <v>0</v>
      </c>
      <c r="AM62" s="194">
        <f t="shared" si="18"/>
        <v>0</v>
      </c>
    </row>
    <row r="63" spans="1:39" s="178" customFormat="1" ht="17.100000000000001" customHeight="1">
      <c r="A63" s="16"/>
      <c r="B63" s="195" t="s">
        <v>394</v>
      </c>
      <c r="C63" s="196">
        <f>0</f>
        <v>0</v>
      </c>
      <c r="D63" s="196">
        <f>0</f>
        <v>0</v>
      </c>
      <c r="E63" s="196">
        <f t="shared" ref="E63:AM63" ca="1" si="19">E54</f>
        <v>0</v>
      </c>
      <c r="F63" s="196">
        <f t="shared" ca="1" si="19"/>
        <v>0</v>
      </c>
      <c r="G63" s="196">
        <f t="shared" ca="1" si="19"/>
        <v>0</v>
      </c>
      <c r="H63" s="196">
        <f t="shared" ca="1" si="19"/>
        <v>0</v>
      </c>
      <c r="I63" s="196">
        <f t="shared" ca="1" si="19"/>
        <v>0</v>
      </c>
      <c r="J63" s="196">
        <f t="shared" ca="1" si="19"/>
        <v>0</v>
      </c>
      <c r="K63" s="196">
        <f t="shared" ca="1" si="19"/>
        <v>0</v>
      </c>
      <c r="L63" s="196">
        <f t="shared" ca="1" si="19"/>
        <v>0</v>
      </c>
      <c r="M63" s="196">
        <f t="shared" ca="1" si="19"/>
        <v>0</v>
      </c>
      <c r="N63" s="196">
        <f t="shared" ca="1" si="19"/>
        <v>0</v>
      </c>
      <c r="O63" s="196">
        <f t="shared" ca="1" si="19"/>
        <v>0</v>
      </c>
      <c r="P63" s="196">
        <f t="shared" ca="1" si="19"/>
        <v>0</v>
      </c>
      <c r="Q63" s="196">
        <f t="shared" ca="1" si="19"/>
        <v>0</v>
      </c>
      <c r="R63" s="196">
        <f t="shared" ca="1" si="19"/>
        <v>0</v>
      </c>
      <c r="S63" s="196">
        <f t="shared" ca="1" si="19"/>
        <v>0</v>
      </c>
      <c r="T63" s="196">
        <f t="shared" ca="1" si="19"/>
        <v>0</v>
      </c>
      <c r="U63" s="196">
        <f t="shared" ca="1" si="19"/>
        <v>0</v>
      </c>
      <c r="V63" s="196">
        <f t="shared" ca="1" si="19"/>
        <v>0</v>
      </c>
      <c r="W63" s="196">
        <f t="shared" ca="1" si="19"/>
        <v>0</v>
      </c>
      <c r="X63" s="196">
        <f t="shared" ca="1" si="19"/>
        <v>0</v>
      </c>
      <c r="Y63" s="196">
        <f t="shared" ca="1" si="19"/>
        <v>0</v>
      </c>
      <c r="Z63" s="196">
        <f t="shared" ca="1" si="19"/>
        <v>0</v>
      </c>
      <c r="AA63" s="196">
        <f t="shared" ca="1" si="19"/>
        <v>0</v>
      </c>
      <c r="AB63" s="196">
        <f t="shared" ca="1" si="19"/>
        <v>0</v>
      </c>
      <c r="AC63" s="196">
        <f t="shared" ca="1" si="19"/>
        <v>0</v>
      </c>
      <c r="AD63" s="196">
        <f t="shared" ca="1" si="19"/>
        <v>0</v>
      </c>
      <c r="AE63" s="196">
        <f t="shared" ca="1" si="19"/>
        <v>0</v>
      </c>
      <c r="AF63" s="196">
        <f t="shared" ca="1" si="19"/>
        <v>0</v>
      </c>
      <c r="AG63" s="196">
        <f t="shared" ca="1" si="19"/>
        <v>0</v>
      </c>
      <c r="AH63" s="196">
        <f t="shared" ca="1" si="19"/>
        <v>0</v>
      </c>
      <c r="AI63" s="196">
        <f t="shared" ca="1" si="19"/>
        <v>0</v>
      </c>
      <c r="AJ63" s="196">
        <f t="shared" ca="1" si="19"/>
        <v>0</v>
      </c>
      <c r="AK63" s="196">
        <f t="shared" ca="1" si="19"/>
        <v>0</v>
      </c>
      <c r="AL63" s="196">
        <f t="shared" ca="1" si="19"/>
        <v>0</v>
      </c>
      <c r="AM63" s="196">
        <f t="shared" ca="1" si="19"/>
        <v>0</v>
      </c>
    </row>
    <row r="64" spans="1:39" s="5" customFormat="1" ht="13.5" customHeight="1">
      <c r="A64" s="16"/>
      <c r="B64" s="17"/>
      <c r="C64" s="16"/>
      <c r="D64" s="16"/>
      <c r="E64" s="17"/>
      <c r="F64" s="18"/>
      <c r="G64" s="19"/>
      <c r="H64" s="18"/>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row>
    <row r="65" spans="1:39" s="5" customFormat="1" ht="18"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row>
    <row r="66" spans="1:39" s="5" customFormat="1" ht="7.5"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row>
  </sheetData>
  <sheetProtection algorithmName="SHA-512" hashValue="ARfyERslp74WeSbd+rx2VbT5zqs+Xg3nsHbIRHynNt8+tOe+AdCQtYp/ckSDRd+TfCJRMI9T1n28ynE+GTNFgw==" saltValue="e2n79RrDZn7/u4JRbVYPpg==" spinCount="100000" sheet="1" objects="1" scenarios="1"/>
  <conditionalFormatting sqref="C4:D4">
    <cfRule type="expression" dxfId="7" priority="1">
      <formula>$C$4&lt;&gt;""</formula>
    </cfRule>
  </conditionalFormatting>
  <conditionalFormatting sqref="C10:AM16">
    <cfRule type="cellIs" dxfId="6" priority="10" operator="lessThan">
      <formula>0</formula>
    </cfRule>
  </conditionalFormatting>
  <conditionalFormatting sqref="C19:AM22">
    <cfRule type="cellIs" dxfId="5" priority="5" operator="lessThan">
      <formula>0</formula>
    </cfRule>
  </conditionalFormatting>
  <conditionalFormatting sqref="C25:AM25">
    <cfRule type="cellIs" dxfId="4" priority="4" operator="lessThan">
      <formula>0</formula>
    </cfRule>
  </conditionalFormatting>
  <conditionalFormatting sqref="C28:AM36">
    <cfRule type="cellIs" dxfId="3" priority="2" operator="lessThan">
      <formula>0</formula>
    </cfRule>
  </conditionalFormatting>
  <conditionalFormatting sqref="C39:AM54">
    <cfRule type="cellIs" dxfId="2" priority="6" operator="lessThan">
      <formula>0</formula>
    </cfRule>
  </conditionalFormatting>
  <conditionalFormatting sqref="C57:AM60">
    <cfRule type="cellIs" dxfId="1" priority="9" operator="lessThan">
      <formula>0</formula>
    </cfRule>
  </conditionalFormatting>
  <conditionalFormatting sqref="C63:AM63">
    <cfRule type="cellIs" dxfId="0" priority="8" operator="lessThan">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8F5F5"/>
  </sheetPr>
  <dimension ref="A1:AM32"/>
  <sheetViews>
    <sheetView showGridLines="0" zoomScale="90" zoomScaleNormal="90" workbookViewId="0">
      <pane ySplit="5" topLeftCell="A26" activePane="bottomLeft" state="frozen"/>
      <selection pane="bottomLeft" activeCell="B5" sqref="B5"/>
    </sheetView>
  </sheetViews>
  <sheetFormatPr defaultColWidth="8.875" defaultRowHeight="14.1"/>
  <cols>
    <col min="1" max="1" width="5" customWidth="1"/>
    <col min="2" max="2" width="47.875" bestFit="1" customWidth="1"/>
    <col min="3" max="5" width="23" customWidth="1"/>
    <col min="6" max="6" width="18.875" customWidth="1"/>
  </cols>
  <sheetData>
    <row r="1" spans="1:39" s="120" customFormat="1" ht="9" customHeight="1">
      <c r="A1" s="119"/>
      <c r="B1" s="119"/>
      <c r="C1" s="119"/>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c r="AM1"/>
    </row>
    <row r="2" spans="1:39" s="120" customFormat="1" ht="135" customHeight="1">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c r="AM2"/>
    </row>
    <row r="3" spans="1:39" s="120" customFormat="1" ht="104.25" customHeight="1">
      <c r="A3" s="122"/>
      <c r="B3" s="385" t="s">
        <v>395</v>
      </c>
      <c r="C3" s="385"/>
      <c r="D3" s="385"/>
      <c r="E3" s="385"/>
      <c r="F3" s="123"/>
      <c r="G3" s="123"/>
      <c r="H3" s="123"/>
      <c r="I3" s="123"/>
      <c r="J3" s="123"/>
      <c r="K3" s="123"/>
      <c r="L3" s="123"/>
      <c r="M3" s="123"/>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c r="AM3"/>
    </row>
    <row r="4" spans="1:39" ht="14.45">
      <c r="A4" s="139"/>
      <c r="B4" s="106"/>
      <c r="C4" s="106"/>
      <c r="D4" s="106"/>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row>
    <row r="5" spans="1:39" ht="17.100000000000001" customHeight="1">
      <c r="A5" s="140"/>
      <c r="B5" s="141" t="s">
        <v>396</v>
      </c>
      <c r="C5" s="142" t="s">
        <v>397</v>
      </c>
      <c r="D5" s="143" t="s">
        <v>398</v>
      </c>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row>
    <row r="6" spans="1:39" ht="17.100000000000001" customHeight="1">
      <c r="A6" s="16"/>
      <c r="B6" s="144" t="s">
        <v>399</v>
      </c>
      <c r="C6" s="145">
        <f ca="1">IFERROR(IRR('Cash Flow'!C59:AM59),0)</f>
        <v>0</v>
      </c>
      <c r="D6" s="146">
        <f ca="1">IFERROR(IRR('Cash Flow'!C60:AM60),0)</f>
        <v>0</v>
      </c>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row>
    <row r="7" spans="1:39" ht="17.100000000000001" customHeight="1">
      <c r="A7" s="16"/>
      <c r="B7" s="144" t="s">
        <v>400</v>
      </c>
      <c r="C7" s="145">
        <f ca="1">IFERROR(IRR('Cash Flow'!C57:AM57),0)</f>
        <v>0</v>
      </c>
      <c r="D7" s="146">
        <f ca="1">IFERROR(IRR('Cash Flow'!C58:AM58),0)</f>
        <v>0</v>
      </c>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row>
    <row r="8" spans="1:39" ht="17.100000000000001" customHeight="1">
      <c r="A8" s="16"/>
      <c r="B8" s="144" t="s">
        <v>401</v>
      </c>
      <c r="C8" s="147" cm="1">
        <f t="array" ref="C8">IFERROR(MIN(_xlfn._xlws.FILTER('Cash Flow'!E61:AM61,
'Cash Flow'!E44:AM44&gt;0)),0)</f>
        <v>0</v>
      </c>
      <c r="D8" s="148" cm="1">
        <f t="array" ref="D8">IFERROR(MIN(_xlfn._xlws.FILTER('Cash Flow'!E62:AM62,
'Cash Flow'!E44:AM44&gt;0)),0)</f>
        <v>0</v>
      </c>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row>
    <row r="9" spans="1:39" ht="17.100000000000001" customHeight="1">
      <c r="A9" s="16"/>
      <c r="B9" s="144" t="s">
        <v>402</v>
      </c>
      <c r="C9" s="147" cm="1">
        <f t="array" ref="C9">IFERROR(AVERAGE(_xlfn._xlws.FILTER('Cash Flow'!E61:AM61,
'Cash Flow'!E44:AM44&gt;0)),0)</f>
        <v>0</v>
      </c>
      <c r="D9" s="148" cm="1">
        <f t="array" ref="D9">IFERROR(AVERAGE(_xlfn._xlws.FILTER('Cash Flow'!E62:AM62,
'Cash Flow'!E44:AM44&gt;0)),0)</f>
        <v>0</v>
      </c>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row>
    <row r="10" spans="1:39" ht="17.100000000000001" customHeight="1">
      <c r="A10" s="16"/>
      <c r="B10" s="144" t="s">
        <v>403</v>
      </c>
      <c r="C10" s="149">
        <f>'User Inputs'!$D$113</f>
        <v>0</v>
      </c>
      <c r="D10" s="150">
        <f>'User Inputs'!$D$113</f>
        <v>0</v>
      </c>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row>
    <row r="11" spans="1:39" ht="17.100000000000001" customHeight="1">
      <c r="A11" s="16"/>
      <c r="B11" s="144" t="s">
        <v>404</v>
      </c>
      <c r="C11" s="149">
        <f>'User Inputs'!$B$113</f>
        <v>0</v>
      </c>
      <c r="D11" s="150">
        <f>'User Inputs'!$B$113</f>
        <v>0</v>
      </c>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row>
    <row r="12" spans="1:39" ht="17.100000000000001" customHeight="1">
      <c r="A12" s="16"/>
      <c r="B12" s="144" t="s">
        <v>405</v>
      </c>
      <c r="C12" s="149">
        <f ca="1">SUM('Cash Flow'!C50:AM50)+SUM('Cash Flow'!C52:AM52)</f>
        <v>0</v>
      </c>
      <c r="D12" s="150">
        <f ca="1">SUM('Cash Flow'!C51:AM51)+SUM('Cash Flow'!C53:AM53)</f>
        <v>0</v>
      </c>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row>
    <row r="13" spans="1:39" ht="17.100000000000001" customHeight="1">
      <c r="A13" s="16"/>
      <c r="B13" s="144" t="s">
        <v>406</v>
      </c>
      <c r="C13" s="149">
        <f>0</f>
        <v>0</v>
      </c>
      <c r="D13" s="150">
        <f ca="1">SUM('Cash Flow'!C54:AM54)</f>
        <v>0</v>
      </c>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row>
    <row r="14" spans="1:39" ht="17.100000000000001" customHeight="1">
      <c r="A14" s="16"/>
      <c r="B14" s="144" t="s">
        <v>407</v>
      </c>
      <c r="C14" s="149">
        <f ca="1">'Cash Flow'!E25</f>
        <v>0</v>
      </c>
      <c r="D14" s="150">
        <f ca="1">'Cash Flow'!E25</f>
        <v>0</v>
      </c>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row>
    <row r="15" spans="1:39" ht="17.100000000000001" customHeight="1">
      <c r="A15" s="16"/>
      <c r="B15" s="144" t="s">
        <v>408</v>
      </c>
      <c r="C15" s="149">
        <f ca="1">SUM('Cash Flow'!E11:E13)</f>
        <v>0</v>
      </c>
      <c r="D15" s="150">
        <f ca="1">SUM('Cash Flow'!E11:E13)</f>
        <v>0</v>
      </c>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row>
    <row r="16" spans="1:39" ht="17.100000000000001" customHeight="1">
      <c r="A16" s="16"/>
      <c r="B16" s="144" t="s">
        <v>409</v>
      </c>
      <c r="C16" s="149">
        <f ca="1">'Cash Flow'!E14</f>
        <v>0</v>
      </c>
      <c r="D16" s="150">
        <f ca="1">'Cash Flow'!E14</f>
        <v>0</v>
      </c>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row>
    <row r="17" spans="1:39" ht="17.100000000000001" customHeight="1">
      <c r="A17" s="16"/>
      <c r="B17" s="144" t="s">
        <v>410</v>
      </c>
      <c r="C17" s="149" t="str">
        <f>'Cash Flow'!E20</f>
        <v/>
      </c>
      <c r="D17" s="150" t="str">
        <f>'Cash Flow'!E20</f>
        <v/>
      </c>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39"/>
      <c r="AH17" s="139"/>
      <c r="AI17" s="139"/>
      <c r="AJ17" s="139"/>
      <c r="AK17" s="139"/>
    </row>
    <row r="18" spans="1:39" ht="17.100000000000001" customHeight="1">
      <c r="A18" s="16"/>
      <c r="B18" s="144" t="s">
        <v>411</v>
      </c>
      <c r="C18" s="149" t="str">
        <f>'Cash Flow'!E21</f>
        <v/>
      </c>
      <c r="D18" s="150" t="str">
        <f>'Cash Flow'!E21</f>
        <v/>
      </c>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row>
    <row r="19" spans="1:39" ht="17.100000000000001" customHeight="1">
      <c r="A19" s="16"/>
      <c r="B19" s="144" t="s">
        <v>412</v>
      </c>
      <c r="C19" s="149" t="str">
        <f>'Cash Flow'!E22</f>
        <v/>
      </c>
      <c r="D19" s="150" t="str">
        <f>'Cash Flow'!E22</f>
        <v/>
      </c>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row>
    <row r="20" spans="1:39" ht="17.100000000000001" customHeight="1">
      <c r="A20" s="16"/>
      <c r="B20" s="144" t="s">
        <v>413</v>
      </c>
      <c r="C20" s="149">
        <f ca="1">'Cash Flow'!E35</f>
        <v>0</v>
      </c>
      <c r="D20" s="150">
        <f ca="1">'Cash Flow'!E35</f>
        <v>0</v>
      </c>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row>
    <row r="21" spans="1:39" ht="17.100000000000001" customHeight="1">
      <c r="A21" s="16"/>
      <c r="B21" s="144" t="s">
        <v>414</v>
      </c>
      <c r="C21" s="149">
        <f ca="1">'Cash Flow'!E36</f>
        <v>0</v>
      </c>
      <c r="D21" s="150">
        <f ca="1">'Cash Flow'!E36</f>
        <v>0</v>
      </c>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row>
    <row r="22" spans="1:39" ht="17.100000000000001" customHeight="1">
      <c r="A22" s="16"/>
      <c r="B22" s="144" t="s">
        <v>415</v>
      </c>
      <c r="C22" s="149" t="str">
        <f>IF('User Inputs'!$H$8="","",IF('User Inputs'!$F$8="Storage","N/A",IFERROR(('User Inputs'!$D$111+SUM('Cash Flow'!$E$35:$AM$35)-'User Inputs'!$F$111-SUM('Cash Flow'!$E$52:$AM$52))/'User Inputs'!$H$104,"N/A")))</f>
        <v/>
      </c>
      <c r="D22" s="150" t="str">
        <f>IF('User Inputs'!$H$8="","",IF('User Inputs'!$F$8="Storage","N/A",IFERROR(('User Inputs'!$D$111+SUM('Cash Flow'!$E$35:$AM$35)-'User Inputs'!$F$111-SUM('Cash Flow'!$E$53:$AM$53)-SUM('Cash Flow'!$E$54:$AM$54))/'User Inputs'!$H$104,"N/A")))</f>
        <v/>
      </c>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row>
    <row r="23" spans="1:39" ht="17.100000000000001" customHeight="1">
      <c r="A23" s="16"/>
      <c r="B23" s="151" t="s">
        <v>416</v>
      </c>
      <c r="C23" s="152" cm="1">
        <f t="array" aca="1" ref="C23" ca="1">IFERROR(MATCH(TRUE,
_xlfn.SCAN(0,'Cash Flow'!C57:AM57,_xlfn.LAMBDA(_xlpm.a,_xlpm.b,_xlpm.a+_xlpm.b))&gt;=0,0)-1,
"Not Recovered")</f>
        <v>0</v>
      </c>
      <c r="D23" s="153" cm="1">
        <f t="array" aca="1" ref="D23" ca="1">IFERROR(MATCH(TRUE,
_xlfn.SCAN(0,'Cash Flow'!C58:AM58,_xlfn.LAMBDA(_xlpm.a,_xlpm.b,_xlpm.a+_xlpm.b))&gt;=0,0)-1,
"Not Recovered")</f>
        <v>0</v>
      </c>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row>
    <row r="24" spans="1:39" ht="17.100000000000001" customHeight="1">
      <c r="A24" s="16"/>
      <c r="B24" s="16"/>
      <c r="C24" s="16"/>
      <c r="D24" s="16"/>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row>
    <row r="25" spans="1:39" ht="17.100000000000001" customHeight="1">
      <c r="A25" s="16"/>
      <c r="B25" s="154" t="s">
        <v>417</v>
      </c>
      <c r="C25" s="155"/>
      <c r="D25" s="155"/>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7"/>
    </row>
    <row r="26" spans="1:39" s="159" customFormat="1" ht="17.100000000000001" customHeight="1">
      <c r="A26" s="16"/>
      <c r="B26" s="158" t="s">
        <v>418</v>
      </c>
      <c r="C26" s="158">
        <f>'Cash Flow'!E$6</f>
        <v>1</v>
      </c>
      <c r="D26" s="158">
        <f>'Cash Flow'!F$6</f>
        <v>2</v>
      </c>
      <c r="E26" s="158">
        <f>'Cash Flow'!G$6</f>
        <v>3</v>
      </c>
      <c r="F26" s="158">
        <f>'Cash Flow'!H$6</f>
        <v>4</v>
      </c>
      <c r="G26" s="158">
        <f>'Cash Flow'!I$6</f>
        <v>5</v>
      </c>
      <c r="H26" s="158">
        <f>'Cash Flow'!J$6</f>
        <v>6</v>
      </c>
      <c r="I26" s="158">
        <f>'Cash Flow'!K$6</f>
        <v>7</v>
      </c>
      <c r="J26" s="158">
        <f>'Cash Flow'!L$6</f>
        <v>8</v>
      </c>
      <c r="K26" s="158">
        <f>'Cash Flow'!M$6</f>
        <v>9</v>
      </c>
      <c r="L26" s="158">
        <f>'Cash Flow'!N$6</f>
        <v>10</v>
      </c>
      <c r="M26" s="158">
        <f>'Cash Flow'!O$6</f>
        <v>11</v>
      </c>
      <c r="N26" s="158">
        <f>'Cash Flow'!P$6</f>
        <v>12</v>
      </c>
      <c r="O26" s="158">
        <f>'Cash Flow'!Q$6</f>
        <v>13</v>
      </c>
      <c r="P26" s="158">
        <f>'Cash Flow'!R$6</f>
        <v>14</v>
      </c>
      <c r="Q26" s="158">
        <f>'Cash Flow'!S$6</f>
        <v>15</v>
      </c>
      <c r="R26" s="158">
        <f>'Cash Flow'!T$6</f>
        <v>16</v>
      </c>
      <c r="S26" s="158">
        <f>'Cash Flow'!U$6</f>
        <v>17</v>
      </c>
      <c r="T26" s="158">
        <f>'Cash Flow'!V$6</f>
        <v>18</v>
      </c>
      <c r="U26" s="158">
        <f>'Cash Flow'!W$6</f>
        <v>19</v>
      </c>
      <c r="V26" s="158">
        <f>'Cash Flow'!X$6</f>
        <v>20</v>
      </c>
      <c r="W26" s="158">
        <f>'Cash Flow'!Y$6</f>
        <v>21</v>
      </c>
      <c r="X26" s="158">
        <f>'Cash Flow'!Z$6</f>
        <v>22</v>
      </c>
      <c r="Y26" s="158">
        <f>'Cash Flow'!AA$6</f>
        <v>23</v>
      </c>
      <c r="Z26" s="158">
        <f>'Cash Flow'!AB$6</f>
        <v>24</v>
      </c>
      <c r="AA26" s="158">
        <f>'Cash Flow'!AC$6</f>
        <v>25</v>
      </c>
      <c r="AB26" s="158">
        <f>'Cash Flow'!AD$6</f>
        <v>26</v>
      </c>
      <c r="AC26" s="158">
        <f>'Cash Flow'!AE$6</f>
        <v>27</v>
      </c>
      <c r="AD26" s="158">
        <f>'Cash Flow'!AF$6</f>
        <v>28</v>
      </c>
      <c r="AE26" s="158">
        <f>'Cash Flow'!AG$6</f>
        <v>29</v>
      </c>
      <c r="AF26" s="158">
        <f>'Cash Flow'!AH$6</f>
        <v>30</v>
      </c>
      <c r="AG26" s="158">
        <f>'Cash Flow'!AI$6</f>
        <v>31</v>
      </c>
      <c r="AH26" s="158">
        <f>'Cash Flow'!AJ$6</f>
        <v>32</v>
      </c>
      <c r="AI26" s="158">
        <f>'Cash Flow'!AK$6</f>
        <v>33</v>
      </c>
      <c r="AJ26" s="158">
        <f>'Cash Flow'!AL$6</f>
        <v>34</v>
      </c>
      <c r="AK26" s="158">
        <f>'Cash Flow'!AM$6</f>
        <v>35</v>
      </c>
      <c r="AL26"/>
      <c r="AM26"/>
    </row>
    <row r="27" spans="1:39" s="159" customFormat="1" ht="17.100000000000001" customHeight="1">
      <c r="A27" s="16"/>
      <c r="B27" s="160" t="s">
        <v>419</v>
      </c>
      <c r="C27" s="161">
        <f>'Cash Flow'!E$61</f>
        <v>0</v>
      </c>
      <c r="D27" s="161">
        <f>'Cash Flow'!F$61</f>
        <v>0</v>
      </c>
      <c r="E27" s="162">
        <f>'Cash Flow'!G$61</f>
        <v>0</v>
      </c>
      <c r="F27" s="162">
        <f>'Cash Flow'!H$61</f>
        <v>0</v>
      </c>
      <c r="G27" s="162">
        <f>'Cash Flow'!I$61</f>
        <v>0</v>
      </c>
      <c r="H27" s="162">
        <f>'Cash Flow'!J$61</f>
        <v>0</v>
      </c>
      <c r="I27" s="162">
        <f>'Cash Flow'!K$61</f>
        <v>0</v>
      </c>
      <c r="J27" s="162">
        <f>'Cash Flow'!L$61</f>
        <v>0</v>
      </c>
      <c r="K27" s="162">
        <f>'Cash Flow'!M$61</f>
        <v>0</v>
      </c>
      <c r="L27" s="162">
        <f>'Cash Flow'!N$61</f>
        <v>0</v>
      </c>
      <c r="M27" s="162">
        <f>'Cash Flow'!O$61</f>
        <v>0</v>
      </c>
      <c r="N27" s="162">
        <f>'Cash Flow'!P$61</f>
        <v>0</v>
      </c>
      <c r="O27" s="162">
        <f>'Cash Flow'!Q$61</f>
        <v>0</v>
      </c>
      <c r="P27" s="162">
        <f>'Cash Flow'!R$61</f>
        <v>0</v>
      </c>
      <c r="Q27" s="162">
        <f>'Cash Flow'!S$61</f>
        <v>0</v>
      </c>
      <c r="R27" s="162">
        <f>'Cash Flow'!T$61</f>
        <v>0</v>
      </c>
      <c r="S27" s="162">
        <f>'Cash Flow'!U$61</f>
        <v>0</v>
      </c>
      <c r="T27" s="162">
        <f>'Cash Flow'!V$61</f>
        <v>0</v>
      </c>
      <c r="U27" s="162">
        <f>'Cash Flow'!W$61</f>
        <v>0</v>
      </c>
      <c r="V27" s="162">
        <f>'Cash Flow'!X$61</f>
        <v>0</v>
      </c>
      <c r="W27" s="162">
        <f>'Cash Flow'!Y$61</f>
        <v>0</v>
      </c>
      <c r="X27" s="162">
        <f>'Cash Flow'!Z$61</f>
        <v>0</v>
      </c>
      <c r="Y27" s="162">
        <f>'Cash Flow'!AA$61</f>
        <v>0</v>
      </c>
      <c r="Z27" s="162">
        <f>'Cash Flow'!AB$61</f>
        <v>0</v>
      </c>
      <c r="AA27" s="162">
        <f>'Cash Flow'!AC$61</f>
        <v>0</v>
      </c>
      <c r="AB27" s="162">
        <f>'Cash Flow'!AD$61</f>
        <v>0</v>
      </c>
      <c r="AC27" s="162">
        <f>'Cash Flow'!AE$61</f>
        <v>0</v>
      </c>
      <c r="AD27" s="162">
        <f>'Cash Flow'!AF$61</f>
        <v>0</v>
      </c>
      <c r="AE27" s="162">
        <f>'Cash Flow'!AG$61</f>
        <v>0</v>
      </c>
      <c r="AF27" s="162">
        <f>'Cash Flow'!AH$61</f>
        <v>0</v>
      </c>
      <c r="AG27" s="162">
        <f>'Cash Flow'!AI$61</f>
        <v>0</v>
      </c>
      <c r="AH27" s="162">
        <f>'Cash Flow'!AJ$61</f>
        <v>0</v>
      </c>
      <c r="AI27" s="162">
        <f>'Cash Flow'!AK$61</f>
        <v>0</v>
      </c>
      <c r="AJ27" s="162">
        <f>'Cash Flow'!AL$61</f>
        <v>0</v>
      </c>
      <c r="AK27" s="162">
        <f>'Cash Flow'!AM$61</f>
        <v>0</v>
      </c>
      <c r="AL27"/>
      <c r="AM27"/>
    </row>
    <row r="28" spans="1:39" s="159" customFormat="1" ht="17.100000000000001" customHeight="1">
      <c r="A28" s="16"/>
      <c r="B28" s="160" t="s">
        <v>420</v>
      </c>
      <c r="C28" s="161">
        <f>'Cash Flow'!E$62</f>
        <v>0</v>
      </c>
      <c r="D28" s="161">
        <f>'Cash Flow'!F$62</f>
        <v>0</v>
      </c>
      <c r="E28" s="162">
        <f>'Cash Flow'!G$62</f>
        <v>0</v>
      </c>
      <c r="F28" s="162">
        <f>'Cash Flow'!H$62</f>
        <v>0</v>
      </c>
      <c r="G28" s="162">
        <f>'Cash Flow'!I$62</f>
        <v>0</v>
      </c>
      <c r="H28" s="162">
        <f>'Cash Flow'!J$62</f>
        <v>0</v>
      </c>
      <c r="I28" s="162">
        <f>'Cash Flow'!K$62</f>
        <v>0</v>
      </c>
      <c r="J28" s="162">
        <f>'Cash Flow'!L$62</f>
        <v>0</v>
      </c>
      <c r="K28" s="162">
        <f>'Cash Flow'!M$62</f>
        <v>0</v>
      </c>
      <c r="L28" s="162">
        <f>'Cash Flow'!N$62</f>
        <v>0</v>
      </c>
      <c r="M28" s="162">
        <f>'Cash Flow'!O$62</f>
        <v>0</v>
      </c>
      <c r="N28" s="162">
        <f>'Cash Flow'!P$62</f>
        <v>0</v>
      </c>
      <c r="O28" s="162">
        <f>'Cash Flow'!Q$62</f>
        <v>0</v>
      </c>
      <c r="P28" s="162">
        <f>'Cash Flow'!R$62</f>
        <v>0</v>
      </c>
      <c r="Q28" s="162">
        <f>'Cash Flow'!S$62</f>
        <v>0</v>
      </c>
      <c r="R28" s="162">
        <f>'Cash Flow'!T$62</f>
        <v>0</v>
      </c>
      <c r="S28" s="162">
        <f>'Cash Flow'!U$62</f>
        <v>0</v>
      </c>
      <c r="T28" s="162">
        <f>'Cash Flow'!V$62</f>
        <v>0</v>
      </c>
      <c r="U28" s="162">
        <f>'Cash Flow'!W$62</f>
        <v>0</v>
      </c>
      <c r="V28" s="162">
        <f>'Cash Flow'!X$62</f>
        <v>0</v>
      </c>
      <c r="W28" s="162">
        <f>'Cash Flow'!Y$62</f>
        <v>0</v>
      </c>
      <c r="X28" s="162">
        <f>'Cash Flow'!Z$62</f>
        <v>0</v>
      </c>
      <c r="Y28" s="162">
        <f>'Cash Flow'!AA$62</f>
        <v>0</v>
      </c>
      <c r="Z28" s="162">
        <f>'Cash Flow'!AB$62</f>
        <v>0</v>
      </c>
      <c r="AA28" s="162">
        <f>'Cash Flow'!AC$62</f>
        <v>0</v>
      </c>
      <c r="AB28" s="162">
        <f>'Cash Flow'!AD$62</f>
        <v>0</v>
      </c>
      <c r="AC28" s="162">
        <f>'Cash Flow'!AE$62</f>
        <v>0</v>
      </c>
      <c r="AD28" s="162">
        <f>'Cash Flow'!AF$62</f>
        <v>0</v>
      </c>
      <c r="AE28" s="162">
        <f>'Cash Flow'!AG$62</f>
        <v>0</v>
      </c>
      <c r="AF28" s="162">
        <f>'Cash Flow'!AH$62</f>
        <v>0</v>
      </c>
      <c r="AG28" s="162">
        <f>'Cash Flow'!AI$62</f>
        <v>0</v>
      </c>
      <c r="AH28" s="162">
        <f>'Cash Flow'!AJ$62</f>
        <v>0</v>
      </c>
      <c r="AI28" s="162">
        <f>'Cash Flow'!AK$62</f>
        <v>0</v>
      </c>
      <c r="AJ28" s="162">
        <f>'Cash Flow'!AL$62</f>
        <v>0</v>
      </c>
      <c r="AK28" s="162">
        <f>'Cash Flow'!AM$62</f>
        <v>0</v>
      </c>
      <c r="AL28"/>
      <c r="AM28"/>
    </row>
    <row r="29" spans="1:39" s="5" customFormat="1" ht="13.5" customHeight="1">
      <c r="A29" s="16"/>
      <c r="B29" s="17"/>
      <c r="C29" s="16"/>
      <c r="D29" s="17"/>
      <c r="E29" s="18"/>
      <c r="F29" s="19"/>
      <c r="G29" s="1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c r="AM29"/>
    </row>
    <row r="30" spans="1:39" s="5" customFormat="1" ht="18"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c r="AM30"/>
    </row>
    <row r="31" spans="1:39" s="5" customFormat="1" ht="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c r="AM31"/>
    </row>
    <row r="32" spans="1:39" s="120" customFormat="1" ht="14.45"/>
  </sheetData>
  <sheetProtection algorithmName="SHA-512" hashValue="volRjpIBTcFC3ykVz0hDHbedJL6aBEkECaLXW675QE2XB+WIrpbQIZK4xenrrAfVFdsavQLB+KEDafZQUMK/9w==" saltValue="Q6F2NPyROYbzJLYAlaPnvA==" spinCount="100000" sheet="1" objects="1" scenarios="1"/>
  <mergeCells count="1">
    <mergeCell ref="B3:E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644B1-DDA6-4F61-8FC5-FBCE131F903A}">
  <sheetPr>
    <tabColor rgb="FFE8F5F5"/>
  </sheetPr>
  <dimension ref="A1:AO45"/>
  <sheetViews>
    <sheetView showGridLines="0" topLeftCell="A4" zoomScale="90" zoomScaleNormal="90" workbookViewId="0">
      <selection activeCell="C6" sqref="C6"/>
    </sheetView>
  </sheetViews>
  <sheetFormatPr defaultColWidth="8.625" defaultRowHeight="14.45"/>
  <cols>
    <col min="1" max="1" width="6.5" style="102" customWidth="1"/>
    <col min="2" max="2" width="17.625" style="102" customWidth="1"/>
    <col min="3" max="3" width="16" style="102" customWidth="1"/>
    <col min="4" max="4" width="23" style="102" customWidth="1"/>
    <col min="5" max="5" width="18.125" style="102" bestFit="1" customWidth="1"/>
    <col min="6" max="6" width="18.125" style="102" customWidth="1"/>
    <col min="7" max="7" width="14.375" style="102" customWidth="1"/>
    <col min="8" max="8" width="12.125" style="102" customWidth="1"/>
    <col min="9" max="9" width="11.625" style="102" customWidth="1"/>
    <col min="10" max="16384" width="8.625" style="102"/>
  </cols>
  <sheetData>
    <row r="1" spans="1:9" s="120" customFormat="1" ht="9" customHeight="1">
      <c r="A1" s="119"/>
      <c r="B1" s="119"/>
      <c r="C1" s="119"/>
      <c r="D1" s="119"/>
      <c r="E1" s="2"/>
      <c r="F1" s="2"/>
      <c r="G1" s="2"/>
      <c r="H1" s="2"/>
      <c r="I1" s="2"/>
    </row>
    <row r="2" spans="1:9" s="120" customFormat="1" ht="135" customHeight="1">
      <c r="A2" s="121"/>
      <c r="B2" s="121"/>
      <c r="C2" s="121"/>
      <c r="D2" s="121"/>
      <c r="E2" s="121"/>
      <c r="F2" s="121"/>
      <c r="G2" s="121"/>
      <c r="H2" s="121"/>
      <c r="I2" s="121"/>
    </row>
    <row r="3" spans="1:9" s="120" customFormat="1" ht="84" customHeight="1">
      <c r="A3" s="122"/>
      <c r="B3" s="122"/>
      <c r="C3" s="385" t="s">
        <v>421</v>
      </c>
      <c r="D3" s="385"/>
      <c r="E3" s="385"/>
      <c r="F3" s="385"/>
      <c r="G3" s="385"/>
      <c r="H3" s="123"/>
      <c r="I3" s="123"/>
    </row>
    <row r="4" spans="1:9" ht="21">
      <c r="A4" s="106"/>
      <c r="B4" s="124" t="s">
        <v>422</v>
      </c>
      <c r="C4" s="125">
        <f>'User Inputs'!$D$97</f>
        <v>0</v>
      </c>
      <c r="D4" s="124"/>
      <c r="E4" s="124" t="s">
        <v>336</v>
      </c>
      <c r="F4" s="126">
        <f>'User Inputs'!$H$111</f>
        <v>0</v>
      </c>
      <c r="G4" s="124"/>
      <c r="H4" s="124"/>
      <c r="I4" s="127" t="str">
        <f ca="1">IF(MAX(ABS($H$41),ABS($I$41))&lt;1,"PASS","REVIEW")</f>
        <v>PASS</v>
      </c>
    </row>
    <row r="5" spans="1:9" s="130" customFormat="1" ht="43.5">
      <c r="A5" s="128"/>
      <c r="B5" s="129" t="s">
        <v>418</v>
      </c>
      <c r="C5" s="129" t="s">
        <v>423</v>
      </c>
      <c r="D5" s="129" t="s">
        <v>424</v>
      </c>
      <c r="E5" s="129" t="s">
        <v>425</v>
      </c>
      <c r="F5" s="129" t="s">
        <v>426</v>
      </c>
      <c r="G5" s="129" t="s">
        <v>427</v>
      </c>
      <c r="H5" s="129" t="s">
        <v>428</v>
      </c>
      <c r="I5" s="129" t="s">
        <v>429</v>
      </c>
    </row>
    <row r="6" spans="1:9">
      <c r="A6" s="106"/>
      <c r="B6" s="131" cm="1">
        <f t="array" ref="B6">INDEX('Cash Flow'!$E$6:$AM$6,1,ROWS($B$6:B6))</f>
        <v>1</v>
      </c>
      <c r="C6" s="132">
        <f ca="1">IF(B6&gt;'User Inputs'!$F$19,0,IF($C$4="Straight-line",1/'User Inputs'!$F$19,IF(AND(B6&gt;=1,B6&lt;=6),CHOOSE(B6,20%,32%,19.2%,11.52%,11.52%,5.76%),0)))</f>
        <v>0.2</v>
      </c>
      <c r="D6" s="133">
        <f ca="1">$F$4*C6</f>
        <v>0</v>
      </c>
      <c r="E6" s="133">
        <f ca="1">$F$4*C6</f>
        <v>0</v>
      </c>
      <c r="F6" s="133" cm="1">
        <f t="array" aca="1" ref="F6" ca="1">INDEX('Cash Flow'!$E$39:$AM$39,1,ROWS($B$6:B6))</f>
        <v>0</v>
      </c>
      <c r="G6" s="133" cm="1">
        <f t="array" aca="1" ref="G6" ca="1">INDEX('Cash Flow'!$E$40:$AM$40,1,ROWS($B$6:B6))</f>
        <v>0</v>
      </c>
      <c r="H6" s="133">
        <f ca="1">D6-F6</f>
        <v>0</v>
      </c>
      <c r="I6" s="133">
        <f ca="1">E6-G6</f>
        <v>0</v>
      </c>
    </row>
    <row r="7" spans="1:9">
      <c r="A7" s="106"/>
      <c r="B7" s="131" cm="1">
        <f t="array" ref="B7">INDEX('Cash Flow'!$E$6:$AM$6,1,ROWS($B$6:B7))</f>
        <v>2</v>
      </c>
      <c r="C7" s="132">
        <f ca="1">IF(B7&gt;'User Inputs'!$F$19,0,IF($C$4="Straight-line",1/'User Inputs'!$F$19,IF(AND(B7&gt;=1,B7&lt;=6),CHOOSE(B7,20%,32%,19.2%,11.52%,11.52%,5.76%),0)))</f>
        <v>0.32</v>
      </c>
      <c r="D7" s="133">
        <f t="shared" ref="D7:D40" ca="1" si="0">$F$4*C7</f>
        <v>0</v>
      </c>
      <c r="E7" s="133">
        <f t="shared" ref="E7:E40" ca="1" si="1">$F$4*C7</f>
        <v>0</v>
      </c>
      <c r="F7" s="133" cm="1">
        <f t="array" aca="1" ref="F7" ca="1">INDEX('Cash Flow'!$E$39:$AM$39,1,ROWS($B$6:B7))</f>
        <v>0</v>
      </c>
      <c r="G7" s="133" cm="1">
        <f t="array" aca="1" ref="G7" ca="1">INDEX('Cash Flow'!$E$40:$AM$40,1,ROWS($B$6:B7))</f>
        <v>0</v>
      </c>
      <c r="H7" s="133">
        <f t="shared" ref="H7:H40" ca="1" si="2">D7-F7</f>
        <v>0</v>
      </c>
      <c r="I7" s="133">
        <f t="shared" ref="I7:I40" ca="1" si="3">E7-G7</f>
        <v>0</v>
      </c>
    </row>
    <row r="8" spans="1:9">
      <c r="A8" s="106"/>
      <c r="B8" s="131" cm="1">
        <f t="array" ref="B8">INDEX('Cash Flow'!$E$6:$AM$6,1,ROWS($B$6:B8))</f>
        <v>3</v>
      </c>
      <c r="C8" s="132">
        <f ca="1">IF(B8&gt;'User Inputs'!$F$19,0,IF($C$4="Straight-line",1/'User Inputs'!$F$19,IF(AND(B8&gt;=1,B8&lt;=6),CHOOSE(B8,20%,32%,19.2%,11.52%,11.52%,5.76%),0)))</f>
        <v>0.192</v>
      </c>
      <c r="D8" s="133">
        <f t="shared" ca="1" si="0"/>
        <v>0</v>
      </c>
      <c r="E8" s="133">
        <f t="shared" ca="1" si="1"/>
        <v>0</v>
      </c>
      <c r="F8" s="133" cm="1">
        <f t="array" aca="1" ref="F8" ca="1">INDEX('Cash Flow'!$E$39:$AM$39,1,ROWS($B$6:B8))</f>
        <v>0</v>
      </c>
      <c r="G8" s="133" cm="1">
        <f t="array" aca="1" ref="G8" ca="1">INDEX('Cash Flow'!$E$40:$AM$40,1,ROWS($B$6:B8))</f>
        <v>0</v>
      </c>
      <c r="H8" s="133">
        <f t="shared" ca="1" si="2"/>
        <v>0</v>
      </c>
      <c r="I8" s="133">
        <f t="shared" ca="1" si="3"/>
        <v>0</v>
      </c>
    </row>
    <row r="9" spans="1:9">
      <c r="A9" s="106"/>
      <c r="B9" s="131" cm="1">
        <f t="array" ref="B9">INDEX('Cash Flow'!$E$6:$AM$6,1,ROWS($B$6:B9))</f>
        <v>4</v>
      </c>
      <c r="C9" s="132">
        <f ca="1">IF(B9&gt;'User Inputs'!$F$19,0,IF($C$4="Straight-line",1/'User Inputs'!$F$19,IF(AND(B9&gt;=1,B9&lt;=6),CHOOSE(B9,20%,32%,19.2%,11.52%,11.52%,5.76%),0)))</f>
        <v>0.1152</v>
      </c>
      <c r="D9" s="133">
        <f t="shared" ca="1" si="0"/>
        <v>0</v>
      </c>
      <c r="E9" s="133">
        <f t="shared" ca="1" si="1"/>
        <v>0</v>
      </c>
      <c r="F9" s="133" cm="1">
        <f t="array" aca="1" ref="F9" ca="1">INDEX('Cash Flow'!$E$39:$AM$39,1,ROWS($B$6:B9))</f>
        <v>0</v>
      </c>
      <c r="G9" s="133" cm="1">
        <f t="array" aca="1" ref="G9" ca="1">INDEX('Cash Flow'!$E$40:$AM$40,1,ROWS($B$6:B9))</f>
        <v>0</v>
      </c>
      <c r="H9" s="133">
        <f t="shared" ca="1" si="2"/>
        <v>0</v>
      </c>
      <c r="I9" s="133">
        <f t="shared" ca="1" si="3"/>
        <v>0</v>
      </c>
    </row>
    <row r="10" spans="1:9">
      <c r="A10" s="106"/>
      <c r="B10" s="131" cm="1">
        <f t="array" ref="B10">INDEX('Cash Flow'!$E$6:$AM$6,1,ROWS($B$6:B10))</f>
        <v>5</v>
      </c>
      <c r="C10" s="132">
        <f ca="1">IF(B10&gt;'User Inputs'!$F$19,0,IF($C$4="Straight-line",1/'User Inputs'!$F$19,IF(AND(B10&gt;=1,B10&lt;=6),CHOOSE(B10,20%,32%,19.2%,11.52%,11.52%,5.76%),0)))</f>
        <v>0.1152</v>
      </c>
      <c r="D10" s="133">
        <f t="shared" ca="1" si="0"/>
        <v>0</v>
      </c>
      <c r="E10" s="133">
        <f t="shared" ca="1" si="1"/>
        <v>0</v>
      </c>
      <c r="F10" s="133" cm="1">
        <f t="array" aca="1" ref="F10" ca="1">INDEX('Cash Flow'!$E$39:$AM$39,1,ROWS($B$6:B10))</f>
        <v>0</v>
      </c>
      <c r="G10" s="133" cm="1">
        <f t="array" aca="1" ref="G10" ca="1">INDEX('Cash Flow'!$E$40:$AM$40,1,ROWS($B$6:B10))</f>
        <v>0</v>
      </c>
      <c r="H10" s="133">
        <f t="shared" ca="1" si="2"/>
        <v>0</v>
      </c>
      <c r="I10" s="133">
        <f t="shared" ca="1" si="3"/>
        <v>0</v>
      </c>
    </row>
    <row r="11" spans="1:9">
      <c r="A11" s="106"/>
      <c r="B11" s="131" cm="1">
        <f t="array" ref="B11">INDEX('Cash Flow'!$E$6:$AM$6,1,ROWS($B$6:B11))</f>
        <v>6</v>
      </c>
      <c r="C11" s="132">
        <f ca="1">IF(B11&gt;'User Inputs'!$F$19,0,IF($C$4="Straight-line",1/'User Inputs'!$F$19,IF(AND(B11&gt;=1,B11&lt;=6),CHOOSE(B11,20%,32%,19.2%,11.52%,11.52%,5.76%),0)))</f>
        <v>5.7599999999999998E-2</v>
      </c>
      <c r="D11" s="133">
        <f t="shared" ca="1" si="0"/>
        <v>0</v>
      </c>
      <c r="E11" s="133">
        <f t="shared" ca="1" si="1"/>
        <v>0</v>
      </c>
      <c r="F11" s="133" cm="1">
        <f t="array" aca="1" ref="F11" ca="1">INDEX('Cash Flow'!$E$39:$AM$39,1,ROWS($B$6:B11))</f>
        <v>0</v>
      </c>
      <c r="G11" s="133" cm="1">
        <f t="array" aca="1" ref="G11" ca="1">INDEX('Cash Flow'!$E$40:$AM$40,1,ROWS($B$6:B11))</f>
        <v>0</v>
      </c>
      <c r="H11" s="133">
        <f t="shared" ca="1" si="2"/>
        <v>0</v>
      </c>
      <c r="I11" s="133">
        <f t="shared" ca="1" si="3"/>
        <v>0</v>
      </c>
    </row>
    <row r="12" spans="1:9">
      <c r="A12" s="106"/>
      <c r="B12" s="131" cm="1">
        <f t="array" ref="B12">INDEX('Cash Flow'!$E$6:$AM$6,1,ROWS($B$6:B12))</f>
        <v>7</v>
      </c>
      <c r="C12" s="132">
        <f ca="1">IF(B12&gt;'User Inputs'!$F$19,0,IF($C$4="Straight-line",1/'User Inputs'!$F$19,IF(AND(B12&gt;=1,B12&lt;=6),CHOOSE(B12,20%,32%,19.2%,11.52%,11.52%,5.76%),0)))</f>
        <v>0</v>
      </c>
      <c r="D12" s="133">
        <f t="shared" ca="1" si="0"/>
        <v>0</v>
      </c>
      <c r="E12" s="133">
        <f t="shared" ca="1" si="1"/>
        <v>0</v>
      </c>
      <c r="F12" s="133" cm="1">
        <f t="array" aca="1" ref="F12" ca="1">INDEX('Cash Flow'!$E$39:$AM$39,1,ROWS($B$6:B12))</f>
        <v>0</v>
      </c>
      <c r="G12" s="133" cm="1">
        <f t="array" aca="1" ref="G12" ca="1">INDEX('Cash Flow'!$E$40:$AM$40,1,ROWS($B$6:B12))</f>
        <v>0</v>
      </c>
      <c r="H12" s="133">
        <f t="shared" ca="1" si="2"/>
        <v>0</v>
      </c>
      <c r="I12" s="133">
        <f t="shared" ca="1" si="3"/>
        <v>0</v>
      </c>
    </row>
    <row r="13" spans="1:9">
      <c r="A13" s="106"/>
      <c r="B13" s="131" cm="1">
        <f t="array" ref="B13">INDEX('Cash Flow'!$E$6:$AM$6,1,ROWS($B$6:B13))</f>
        <v>8</v>
      </c>
      <c r="C13" s="132">
        <f ca="1">IF(B13&gt;'User Inputs'!$F$19,0,IF($C$4="Straight-line",1/'User Inputs'!$F$19,IF(AND(B13&gt;=1,B13&lt;=6),CHOOSE(B13,20%,32%,19.2%,11.52%,11.52%,5.76%),0)))</f>
        <v>0</v>
      </c>
      <c r="D13" s="133">
        <f t="shared" ca="1" si="0"/>
        <v>0</v>
      </c>
      <c r="E13" s="133">
        <f t="shared" ca="1" si="1"/>
        <v>0</v>
      </c>
      <c r="F13" s="133" cm="1">
        <f t="array" aca="1" ref="F13" ca="1">INDEX('Cash Flow'!$E$39:$AM$39,1,ROWS($B$6:B13))</f>
        <v>0</v>
      </c>
      <c r="G13" s="133" cm="1">
        <f t="array" aca="1" ref="G13" ca="1">INDEX('Cash Flow'!$E$40:$AM$40,1,ROWS($B$6:B13))</f>
        <v>0</v>
      </c>
      <c r="H13" s="133">
        <f t="shared" ca="1" si="2"/>
        <v>0</v>
      </c>
      <c r="I13" s="133">
        <f t="shared" ca="1" si="3"/>
        <v>0</v>
      </c>
    </row>
    <row r="14" spans="1:9">
      <c r="A14" s="106"/>
      <c r="B14" s="131" cm="1">
        <f t="array" ref="B14">INDEX('Cash Flow'!$E$6:$AM$6,1,ROWS($B$6:B14))</f>
        <v>9</v>
      </c>
      <c r="C14" s="132">
        <f ca="1">IF(B14&gt;'User Inputs'!$F$19,0,IF($C$4="Straight-line",1/'User Inputs'!$F$19,IF(AND(B14&gt;=1,B14&lt;=6),CHOOSE(B14,20%,32%,19.2%,11.52%,11.52%,5.76%),0)))</f>
        <v>0</v>
      </c>
      <c r="D14" s="133">
        <f t="shared" ca="1" si="0"/>
        <v>0</v>
      </c>
      <c r="E14" s="133">
        <f t="shared" ca="1" si="1"/>
        <v>0</v>
      </c>
      <c r="F14" s="133" cm="1">
        <f t="array" aca="1" ref="F14" ca="1">INDEX('Cash Flow'!$E$39:$AM$39,1,ROWS($B$6:B14))</f>
        <v>0</v>
      </c>
      <c r="G14" s="133" cm="1">
        <f t="array" aca="1" ref="G14" ca="1">INDEX('Cash Flow'!$E$40:$AM$40,1,ROWS($B$6:B14))</f>
        <v>0</v>
      </c>
      <c r="H14" s="133">
        <f t="shared" ca="1" si="2"/>
        <v>0</v>
      </c>
      <c r="I14" s="133">
        <f t="shared" ca="1" si="3"/>
        <v>0</v>
      </c>
    </row>
    <row r="15" spans="1:9">
      <c r="A15" s="106"/>
      <c r="B15" s="131" cm="1">
        <f t="array" ref="B15">INDEX('Cash Flow'!$E$6:$AM$6,1,ROWS($B$6:B15))</f>
        <v>10</v>
      </c>
      <c r="C15" s="132">
        <f ca="1">IF(B15&gt;'User Inputs'!$F$19,0,IF($C$4="Straight-line",1/'User Inputs'!$F$19,IF(AND(B15&gt;=1,B15&lt;=6),CHOOSE(B15,20%,32%,19.2%,11.52%,11.52%,5.76%),0)))</f>
        <v>0</v>
      </c>
      <c r="D15" s="133">
        <f t="shared" ca="1" si="0"/>
        <v>0</v>
      </c>
      <c r="E15" s="133">
        <f t="shared" ca="1" si="1"/>
        <v>0</v>
      </c>
      <c r="F15" s="133" cm="1">
        <f t="array" aca="1" ref="F15" ca="1">INDEX('Cash Flow'!$E$39:$AM$39,1,ROWS($B$6:B15))</f>
        <v>0</v>
      </c>
      <c r="G15" s="133" cm="1">
        <f t="array" aca="1" ref="G15" ca="1">INDEX('Cash Flow'!$E$40:$AM$40,1,ROWS($B$6:B15))</f>
        <v>0</v>
      </c>
      <c r="H15" s="133">
        <f t="shared" ca="1" si="2"/>
        <v>0</v>
      </c>
      <c r="I15" s="133">
        <f t="shared" ca="1" si="3"/>
        <v>0</v>
      </c>
    </row>
    <row r="16" spans="1:9">
      <c r="A16" s="106"/>
      <c r="B16" s="131" cm="1">
        <f t="array" ref="B16">INDEX('Cash Flow'!$E$6:$AM$6,1,ROWS($B$6:B16))</f>
        <v>11</v>
      </c>
      <c r="C16" s="132">
        <f ca="1">IF(B16&gt;'User Inputs'!$F$19,0,IF($C$4="Straight-line",1/'User Inputs'!$F$19,IF(AND(B16&gt;=1,B16&lt;=6),CHOOSE(B16,20%,32%,19.2%,11.52%,11.52%,5.76%),0)))</f>
        <v>0</v>
      </c>
      <c r="D16" s="133">
        <f t="shared" ca="1" si="0"/>
        <v>0</v>
      </c>
      <c r="E16" s="133">
        <f t="shared" ca="1" si="1"/>
        <v>0</v>
      </c>
      <c r="F16" s="133" cm="1">
        <f t="array" aca="1" ref="F16" ca="1">INDEX('Cash Flow'!$E$39:$AM$39,1,ROWS($B$6:B16))</f>
        <v>0</v>
      </c>
      <c r="G16" s="133" cm="1">
        <f t="array" aca="1" ref="G16" ca="1">INDEX('Cash Flow'!$E$40:$AM$40,1,ROWS($B$6:B16))</f>
        <v>0</v>
      </c>
      <c r="H16" s="133">
        <f t="shared" ca="1" si="2"/>
        <v>0</v>
      </c>
      <c r="I16" s="133">
        <f t="shared" ca="1" si="3"/>
        <v>0</v>
      </c>
    </row>
    <row r="17" spans="1:9">
      <c r="A17" s="106"/>
      <c r="B17" s="131" cm="1">
        <f t="array" ref="B17">INDEX('Cash Flow'!$E$6:$AM$6,1,ROWS($B$6:B17))</f>
        <v>12</v>
      </c>
      <c r="C17" s="132">
        <f ca="1">IF(B17&gt;'User Inputs'!$F$19,0,IF($C$4="Straight-line",1/'User Inputs'!$F$19,IF(AND(B17&gt;=1,B17&lt;=6),CHOOSE(B17,20%,32%,19.2%,11.52%,11.52%,5.76%),0)))</f>
        <v>0</v>
      </c>
      <c r="D17" s="133">
        <f t="shared" ca="1" si="0"/>
        <v>0</v>
      </c>
      <c r="E17" s="133">
        <f t="shared" ca="1" si="1"/>
        <v>0</v>
      </c>
      <c r="F17" s="133" cm="1">
        <f t="array" aca="1" ref="F17" ca="1">INDEX('Cash Flow'!$E$39:$AM$39,1,ROWS($B$6:B17))</f>
        <v>0</v>
      </c>
      <c r="G17" s="133" cm="1">
        <f t="array" aca="1" ref="G17" ca="1">INDEX('Cash Flow'!$E$40:$AM$40,1,ROWS($B$6:B17))</f>
        <v>0</v>
      </c>
      <c r="H17" s="133">
        <f t="shared" ca="1" si="2"/>
        <v>0</v>
      </c>
      <c r="I17" s="133">
        <f t="shared" ca="1" si="3"/>
        <v>0</v>
      </c>
    </row>
    <row r="18" spans="1:9">
      <c r="A18" s="106"/>
      <c r="B18" s="131" cm="1">
        <f t="array" ref="B18">INDEX('Cash Flow'!$E$6:$AM$6,1,ROWS($B$6:B18))</f>
        <v>13</v>
      </c>
      <c r="C18" s="132">
        <f ca="1">IF(B18&gt;'User Inputs'!$F$19,0,IF($C$4="Straight-line",1/'User Inputs'!$F$19,IF(AND(B18&gt;=1,B18&lt;=6),CHOOSE(B18,20%,32%,19.2%,11.52%,11.52%,5.76%),0)))</f>
        <v>0</v>
      </c>
      <c r="D18" s="133">
        <f t="shared" ca="1" si="0"/>
        <v>0</v>
      </c>
      <c r="E18" s="133">
        <f t="shared" ca="1" si="1"/>
        <v>0</v>
      </c>
      <c r="F18" s="133" cm="1">
        <f t="array" aca="1" ref="F18" ca="1">INDEX('Cash Flow'!$E$39:$AM$39,1,ROWS($B$6:B18))</f>
        <v>0</v>
      </c>
      <c r="G18" s="133" cm="1">
        <f t="array" aca="1" ref="G18" ca="1">INDEX('Cash Flow'!$E$40:$AM$40,1,ROWS($B$6:B18))</f>
        <v>0</v>
      </c>
      <c r="H18" s="133">
        <f t="shared" ca="1" si="2"/>
        <v>0</v>
      </c>
      <c r="I18" s="133">
        <f t="shared" ca="1" si="3"/>
        <v>0</v>
      </c>
    </row>
    <row r="19" spans="1:9">
      <c r="A19" s="106"/>
      <c r="B19" s="131" cm="1">
        <f t="array" ref="B19">INDEX('Cash Flow'!$E$6:$AM$6,1,ROWS($B$6:B19))</f>
        <v>14</v>
      </c>
      <c r="C19" s="132">
        <f ca="1">IF(B19&gt;'User Inputs'!$F$19,0,IF($C$4="Straight-line",1/'User Inputs'!$F$19,IF(AND(B19&gt;=1,B19&lt;=6),CHOOSE(B19,20%,32%,19.2%,11.52%,11.52%,5.76%),0)))</f>
        <v>0</v>
      </c>
      <c r="D19" s="133">
        <f t="shared" ca="1" si="0"/>
        <v>0</v>
      </c>
      <c r="E19" s="133">
        <f t="shared" ca="1" si="1"/>
        <v>0</v>
      </c>
      <c r="F19" s="133" cm="1">
        <f t="array" aca="1" ref="F19" ca="1">INDEX('Cash Flow'!$E$39:$AM$39,1,ROWS($B$6:B19))</f>
        <v>0</v>
      </c>
      <c r="G19" s="133" cm="1">
        <f t="array" aca="1" ref="G19" ca="1">INDEX('Cash Flow'!$E$40:$AM$40,1,ROWS($B$6:B19))</f>
        <v>0</v>
      </c>
      <c r="H19" s="133">
        <f t="shared" ca="1" si="2"/>
        <v>0</v>
      </c>
      <c r="I19" s="133">
        <f t="shared" ca="1" si="3"/>
        <v>0</v>
      </c>
    </row>
    <row r="20" spans="1:9">
      <c r="A20" s="106"/>
      <c r="B20" s="131" cm="1">
        <f t="array" ref="B20">INDEX('Cash Flow'!$E$6:$AM$6,1,ROWS($B$6:B20))</f>
        <v>15</v>
      </c>
      <c r="C20" s="132">
        <f ca="1">IF(B20&gt;'User Inputs'!$F$19,0,IF($C$4="Straight-line",1/'User Inputs'!$F$19,IF(AND(B20&gt;=1,B20&lt;=6),CHOOSE(B20,20%,32%,19.2%,11.52%,11.52%,5.76%),0)))</f>
        <v>0</v>
      </c>
      <c r="D20" s="133">
        <f t="shared" ca="1" si="0"/>
        <v>0</v>
      </c>
      <c r="E20" s="133">
        <f t="shared" ca="1" si="1"/>
        <v>0</v>
      </c>
      <c r="F20" s="133" cm="1">
        <f t="array" aca="1" ref="F20" ca="1">INDEX('Cash Flow'!$E$39:$AM$39,1,ROWS($B$6:B20))</f>
        <v>0</v>
      </c>
      <c r="G20" s="133" cm="1">
        <f t="array" aca="1" ref="G20" ca="1">INDEX('Cash Flow'!$E$40:$AM$40,1,ROWS($B$6:B20))</f>
        <v>0</v>
      </c>
      <c r="H20" s="133">
        <f t="shared" ca="1" si="2"/>
        <v>0</v>
      </c>
      <c r="I20" s="133">
        <f t="shared" ca="1" si="3"/>
        <v>0</v>
      </c>
    </row>
    <row r="21" spans="1:9">
      <c r="A21" s="106"/>
      <c r="B21" s="131" cm="1">
        <f t="array" ref="B21">INDEX('Cash Flow'!$E$6:$AM$6,1,ROWS($B$6:B21))</f>
        <v>16</v>
      </c>
      <c r="C21" s="132">
        <f ca="1">IF(B21&gt;'User Inputs'!$F$19,0,IF($C$4="Straight-line",1/'User Inputs'!$F$19,IF(AND(B21&gt;=1,B21&lt;=6),CHOOSE(B21,20%,32%,19.2%,11.52%,11.52%,5.76%),0)))</f>
        <v>0</v>
      </c>
      <c r="D21" s="133">
        <f t="shared" ca="1" si="0"/>
        <v>0</v>
      </c>
      <c r="E21" s="133">
        <f t="shared" ca="1" si="1"/>
        <v>0</v>
      </c>
      <c r="F21" s="133" cm="1">
        <f t="array" aca="1" ref="F21" ca="1">INDEX('Cash Flow'!$E$39:$AM$39,1,ROWS($B$6:B21))</f>
        <v>0</v>
      </c>
      <c r="G21" s="133" cm="1">
        <f t="array" aca="1" ref="G21" ca="1">INDEX('Cash Flow'!$E$40:$AM$40,1,ROWS($B$6:B21))</f>
        <v>0</v>
      </c>
      <c r="H21" s="133">
        <f t="shared" ca="1" si="2"/>
        <v>0</v>
      </c>
      <c r="I21" s="133">
        <f t="shared" ca="1" si="3"/>
        <v>0</v>
      </c>
    </row>
    <row r="22" spans="1:9">
      <c r="A22" s="106"/>
      <c r="B22" s="131" cm="1">
        <f t="array" ref="B22">INDEX('Cash Flow'!$E$6:$AM$6,1,ROWS($B$6:B22))</f>
        <v>17</v>
      </c>
      <c r="C22" s="132">
        <f ca="1">IF(B22&gt;'User Inputs'!$F$19,0,IF($C$4="Straight-line",1/'User Inputs'!$F$19,IF(AND(B22&gt;=1,B22&lt;=6),CHOOSE(B22,20%,32%,19.2%,11.52%,11.52%,5.76%),0)))</f>
        <v>0</v>
      </c>
      <c r="D22" s="133">
        <f t="shared" ca="1" si="0"/>
        <v>0</v>
      </c>
      <c r="E22" s="133">
        <f t="shared" ca="1" si="1"/>
        <v>0</v>
      </c>
      <c r="F22" s="133" cm="1">
        <f t="array" aca="1" ref="F22" ca="1">INDEX('Cash Flow'!$E$39:$AM$39,1,ROWS($B$6:B22))</f>
        <v>0</v>
      </c>
      <c r="G22" s="133" cm="1">
        <f t="array" aca="1" ref="G22" ca="1">INDEX('Cash Flow'!$E$40:$AM$40,1,ROWS($B$6:B22))</f>
        <v>0</v>
      </c>
      <c r="H22" s="133">
        <f t="shared" ca="1" si="2"/>
        <v>0</v>
      </c>
      <c r="I22" s="133">
        <f t="shared" ca="1" si="3"/>
        <v>0</v>
      </c>
    </row>
    <row r="23" spans="1:9">
      <c r="A23" s="106"/>
      <c r="B23" s="131" cm="1">
        <f t="array" ref="B23">INDEX('Cash Flow'!$E$6:$AM$6,1,ROWS($B$6:B23))</f>
        <v>18</v>
      </c>
      <c r="C23" s="132">
        <f ca="1">IF(B23&gt;'User Inputs'!$F$19,0,IF($C$4="Straight-line",1/'User Inputs'!$F$19,IF(AND(B23&gt;=1,B23&lt;=6),CHOOSE(B23,20%,32%,19.2%,11.52%,11.52%,5.76%),0)))</f>
        <v>0</v>
      </c>
      <c r="D23" s="133">
        <f t="shared" ca="1" si="0"/>
        <v>0</v>
      </c>
      <c r="E23" s="133">
        <f t="shared" ca="1" si="1"/>
        <v>0</v>
      </c>
      <c r="F23" s="133" cm="1">
        <f t="array" aca="1" ref="F23" ca="1">INDEX('Cash Flow'!$E$39:$AM$39,1,ROWS($B$6:B23))</f>
        <v>0</v>
      </c>
      <c r="G23" s="133" cm="1">
        <f t="array" aca="1" ref="G23" ca="1">INDEX('Cash Flow'!$E$40:$AM$40,1,ROWS($B$6:B23))</f>
        <v>0</v>
      </c>
      <c r="H23" s="133">
        <f t="shared" ca="1" si="2"/>
        <v>0</v>
      </c>
      <c r="I23" s="133">
        <f t="shared" ca="1" si="3"/>
        <v>0</v>
      </c>
    </row>
    <row r="24" spans="1:9">
      <c r="A24" s="106"/>
      <c r="B24" s="131" cm="1">
        <f t="array" ref="B24">INDEX('Cash Flow'!$E$6:$AM$6,1,ROWS($B$6:B24))</f>
        <v>19</v>
      </c>
      <c r="C24" s="132">
        <f ca="1">IF(B24&gt;'User Inputs'!$F$19,0,IF($C$4="Straight-line",1/'User Inputs'!$F$19,IF(AND(B24&gt;=1,B24&lt;=6),CHOOSE(B24,20%,32%,19.2%,11.52%,11.52%,5.76%),0)))</f>
        <v>0</v>
      </c>
      <c r="D24" s="133">
        <f t="shared" ca="1" si="0"/>
        <v>0</v>
      </c>
      <c r="E24" s="133">
        <f t="shared" ca="1" si="1"/>
        <v>0</v>
      </c>
      <c r="F24" s="133" cm="1">
        <f t="array" aca="1" ref="F24" ca="1">INDEX('Cash Flow'!$E$39:$AM$39,1,ROWS($B$6:B24))</f>
        <v>0</v>
      </c>
      <c r="G24" s="133" cm="1">
        <f t="array" aca="1" ref="G24" ca="1">INDEX('Cash Flow'!$E$40:$AM$40,1,ROWS($B$6:B24))</f>
        <v>0</v>
      </c>
      <c r="H24" s="133">
        <f t="shared" ca="1" si="2"/>
        <v>0</v>
      </c>
      <c r="I24" s="133">
        <f t="shared" ca="1" si="3"/>
        <v>0</v>
      </c>
    </row>
    <row r="25" spans="1:9">
      <c r="A25" s="106"/>
      <c r="B25" s="131" cm="1">
        <f t="array" ref="B25">INDEX('Cash Flow'!$E$6:$AM$6,1,ROWS($B$6:B25))</f>
        <v>20</v>
      </c>
      <c r="C25" s="132">
        <f ca="1">IF(B25&gt;'User Inputs'!$F$19,0,IF($C$4="Straight-line",1/'User Inputs'!$F$19,IF(AND(B25&gt;=1,B25&lt;=6),CHOOSE(B25,20%,32%,19.2%,11.52%,11.52%,5.76%),0)))</f>
        <v>0</v>
      </c>
      <c r="D25" s="133">
        <f t="shared" ca="1" si="0"/>
        <v>0</v>
      </c>
      <c r="E25" s="133">
        <f t="shared" ca="1" si="1"/>
        <v>0</v>
      </c>
      <c r="F25" s="133" cm="1">
        <f t="array" aca="1" ref="F25" ca="1">INDEX('Cash Flow'!$E$39:$AM$39,1,ROWS($B$6:B25))</f>
        <v>0</v>
      </c>
      <c r="G25" s="133" cm="1">
        <f t="array" aca="1" ref="G25" ca="1">INDEX('Cash Flow'!$E$40:$AM$40,1,ROWS($B$6:B25))</f>
        <v>0</v>
      </c>
      <c r="H25" s="133">
        <f t="shared" ca="1" si="2"/>
        <v>0</v>
      </c>
      <c r="I25" s="133">
        <f t="shared" ca="1" si="3"/>
        <v>0</v>
      </c>
    </row>
    <row r="26" spans="1:9">
      <c r="A26" s="106"/>
      <c r="B26" s="131" cm="1">
        <f t="array" ref="B26">INDEX('Cash Flow'!$E$6:$AM$6,1,ROWS($B$6:B26))</f>
        <v>21</v>
      </c>
      <c r="C26" s="132">
        <f ca="1">IF(B26&gt;'User Inputs'!$F$19,0,IF($C$4="Straight-line",1/'User Inputs'!$F$19,IF(AND(B26&gt;=1,B26&lt;=6),CHOOSE(B26,20%,32%,19.2%,11.52%,11.52%,5.76%),0)))</f>
        <v>0</v>
      </c>
      <c r="D26" s="133">
        <f t="shared" ca="1" si="0"/>
        <v>0</v>
      </c>
      <c r="E26" s="133">
        <f t="shared" ca="1" si="1"/>
        <v>0</v>
      </c>
      <c r="F26" s="133" cm="1">
        <f t="array" aca="1" ref="F26" ca="1">INDEX('Cash Flow'!$E$39:$AM$39,1,ROWS($B$6:B26))</f>
        <v>0</v>
      </c>
      <c r="G26" s="133" cm="1">
        <f t="array" aca="1" ref="G26" ca="1">INDEX('Cash Flow'!$E$40:$AM$40,1,ROWS($B$6:B26))</f>
        <v>0</v>
      </c>
      <c r="H26" s="133">
        <f t="shared" ca="1" si="2"/>
        <v>0</v>
      </c>
      <c r="I26" s="133">
        <f t="shared" ca="1" si="3"/>
        <v>0</v>
      </c>
    </row>
    <row r="27" spans="1:9">
      <c r="A27" s="106"/>
      <c r="B27" s="131" cm="1">
        <f t="array" ref="B27">INDEX('Cash Flow'!$E$6:$AM$6,1,ROWS($B$6:B27))</f>
        <v>22</v>
      </c>
      <c r="C27" s="132">
        <f ca="1">IF(B27&gt;'User Inputs'!$F$19,0,IF($C$4="Straight-line",1/'User Inputs'!$F$19,IF(AND(B27&gt;=1,B27&lt;=6),CHOOSE(B27,20%,32%,19.2%,11.52%,11.52%,5.76%),0)))</f>
        <v>0</v>
      </c>
      <c r="D27" s="133">
        <f t="shared" ca="1" si="0"/>
        <v>0</v>
      </c>
      <c r="E27" s="133">
        <f t="shared" ca="1" si="1"/>
        <v>0</v>
      </c>
      <c r="F27" s="133" cm="1">
        <f t="array" aca="1" ref="F27" ca="1">INDEX('Cash Flow'!$E$39:$AM$39,1,ROWS($B$6:B27))</f>
        <v>0</v>
      </c>
      <c r="G27" s="133" cm="1">
        <f t="array" aca="1" ref="G27" ca="1">INDEX('Cash Flow'!$E$40:$AM$40,1,ROWS($B$6:B27))</f>
        <v>0</v>
      </c>
      <c r="H27" s="133">
        <f t="shared" ca="1" si="2"/>
        <v>0</v>
      </c>
      <c r="I27" s="133">
        <f t="shared" ca="1" si="3"/>
        <v>0</v>
      </c>
    </row>
    <row r="28" spans="1:9">
      <c r="A28" s="106"/>
      <c r="B28" s="131" cm="1">
        <f t="array" ref="B28">INDEX('Cash Flow'!$E$6:$AM$6,1,ROWS($B$6:B28))</f>
        <v>23</v>
      </c>
      <c r="C28" s="132">
        <f ca="1">IF(B28&gt;'User Inputs'!$F$19,0,IF($C$4="Straight-line",1/'User Inputs'!$F$19,IF(AND(B28&gt;=1,B28&lt;=6),CHOOSE(B28,20%,32%,19.2%,11.52%,11.52%,5.76%),0)))</f>
        <v>0</v>
      </c>
      <c r="D28" s="133">
        <f t="shared" ca="1" si="0"/>
        <v>0</v>
      </c>
      <c r="E28" s="133">
        <f t="shared" ca="1" si="1"/>
        <v>0</v>
      </c>
      <c r="F28" s="133" cm="1">
        <f t="array" aca="1" ref="F28" ca="1">INDEX('Cash Flow'!$E$39:$AM$39,1,ROWS($B$6:B28))</f>
        <v>0</v>
      </c>
      <c r="G28" s="133" cm="1">
        <f t="array" aca="1" ref="G28" ca="1">INDEX('Cash Flow'!$E$40:$AM$40,1,ROWS($B$6:B28))</f>
        <v>0</v>
      </c>
      <c r="H28" s="133">
        <f t="shared" ca="1" si="2"/>
        <v>0</v>
      </c>
      <c r="I28" s="133">
        <f t="shared" ca="1" si="3"/>
        <v>0</v>
      </c>
    </row>
    <row r="29" spans="1:9">
      <c r="A29" s="106"/>
      <c r="B29" s="131" cm="1">
        <f t="array" ref="B29">INDEX('Cash Flow'!$E$6:$AM$6,1,ROWS($B$6:B29))</f>
        <v>24</v>
      </c>
      <c r="C29" s="132">
        <f ca="1">IF(B29&gt;'User Inputs'!$F$19,0,IF($C$4="Straight-line",1/'User Inputs'!$F$19,IF(AND(B29&gt;=1,B29&lt;=6),CHOOSE(B29,20%,32%,19.2%,11.52%,11.52%,5.76%),0)))</f>
        <v>0</v>
      </c>
      <c r="D29" s="133">
        <f t="shared" ca="1" si="0"/>
        <v>0</v>
      </c>
      <c r="E29" s="133">
        <f t="shared" ca="1" si="1"/>
        <v>0</v>
      </c>
      <c r="F29" s="133" cm="1">
        <f t="array" aca="1" ref="F29" ca="1">INDEX('Cash Flow'!$E$39:$AM$39,1,ROWS($B$6:B29))</f>
        <v>0</v>
      </c>
      <c r="G29" s="133" cm="1">
        <f t="array" aca="1" ref="G29" ca="1">INDEX('Cash Flow'!$E$40:$AM$40,1,ROWS($B$6:B29))</f>
        <v>0</v>
      </c>
      <c r="H29" s="133">
        <f t="shared" ca="1" si="2"/>
        <v>0</v>
      </c>
      <c r="I29" s="133">
        <f t="shared" ca="1" si="3"/>
        <v>0</v>
      </c>
    </row>
    <row r="30" spans="1:9">
      <c r="A30" s="106"/>
      <c r="B30" s="131" cm="1">
        <f t="array" ref="B30">INDEX('Cash Flow'!$E$6:$AM$6,1,ROWS($B$6:B30))</f>
        <v>25</v>
      </c>
      <c r="C30" s="132">
        <f ca="1">IF(B30&gt;'User Inputs'!$F$19,0,IF($C$4="Straight-line",1/'User Inputs'!$F$19,IF(AND(B30&gt;=1,B30&lt;=6),CHOOSE(B30,20%,32%,19.2%,11.52%,11.52%,5.76%),0)))</f>
        <v>0</v>
      </c>
      <c r="D30" s="133">
        <f t="shared" ca="1" si="0"/>
        <v>0</v>
      </c>
      <c r="E30" s="133">
        <f t="shared" ca="1" si="1"/>
        <v>0</v>
      </c>
      <c r="F30" s="133" cm="1">
        <f t="array" aca="1" ref="F30" ca="1">INDEX('Cash Flow'!$E$39:$AM$39,1,ROWS($B$6:B30))</f>
        <v>0</v>
      </c>
      <c r="G30" s="133" cm="1">
        <f t="array" aca="1" ref="G30" ca="1">INDEX('Cash Flow'!$E$40:$AM$40,1,ROWS($B$6:B30))</f>
        <v>0</v>
      </c>
      <c r="H30" s="133">
        <f t="shared" ca="1" si="2"/>
        <v>0</v>
      </c>
      <c r="I30" s="133">
        <f t="shared" ca="1" si="3"/>
        <v>0</v>
      </c>
    </row>
    <row r="31" spans="1:9">
      <c r="A31" s="106"/>
      <c r="B31" s="131" cm="1">
        <f t="array" ref="B31">INDEX('Cash Flow'!$E$6:$AM$6,1,ROWS($B$6:B31))</f>
        <v>26</v>
      </c>
      <c r="C31" s="132">
        <f ca="1">IF(B31&gt;'User Inputs'!$F$19,0,IF($C$4="Straight-line",1/'User Inputs'!$F$19,IF(AND(B31&gt;=1,B31&lt;=6),CHOOSE(B31,20%,32%,19.2%,11.52%,11.52%,5.76%),0)))</f>
        <v>0</v>
      </c>
      <c r="D31" s="133">
        <f t="shared" ca="1" si="0"/>
        <v>0</v>
      </c>
      <c r="E31" s="133">
        <f t="shared" ca="1" si="1"/>
        <v>0</v>
      </c>
      <c r="F31" s="133" cm="1">
        <f t="array" aca="1" ref="F31" ca="1">INDEX('Cash Flow'!$E$39:$AM$39,1,ROWS($B$6:B31))</f>
        <v>0</v>
      </c>
      <c r="G31" s="133" cm="1">
        <f t="array" aca="1" ref="G31" ca="1">INDEX('Cash Flow'!$E$40:$AM$40,1,ROWS($B$6:B31))</f>
        <v>0</v>
      </c>
      <c r="H31" s="133">
        <f t="shared" ca="1" si="2"/>
        <v>0</v>
      </c>
      <c r="I31" s="133">
        <f t="shared" ca="1" si="3"/>
        <v>0</v>
      </c>
    </row>
    <row r="32" spans="1:9">
      <c r="A32" s="106"/>
      <c r="B32" s="131" cm="1">
        <f t="array" ref="B32">INDEX('Cash Flow'!$E$6:$AM$6,1,ROWS($B$6:B32))</f>
        <v>27</v>
      </c>
      <c r="C32" s="132">
        <f ca="1">IF(B32&gt;'User Inputs'!$F$19,0,IF($C$4="Straight-line",1/'User Inputs'!$F$19,IF(AND(B32&gt;=1,B32&lt;=6),CHOOSE(B32,20%,32%,19.2%,11.52%,11.52%,5.76%),0)))</f>
        <v>0</v>
      </c>
      <c r="D32" s="133">
        <f t="shared" ca="1" si="0"/>
        <v>0</v>
      </c>
      <c r="E32" s="133">
        <f t="shared" ca="1" si="1"/>
        <v>0</v>
      </c>
      <c r="F32" s="133" cm="1">
        <f t="array" aca="1" ref="F32" ca="1">INDEX('Cash Flow'!$E$39:$AM$39,1,ROWS($B$6:B32))</f>
        <v>0</v>
      </c>
      <c r="G32" s="133" cm="1">
        <f t="array" aca="1" ref="G32" ca="1">INDEX('Cash Flow'!$E$40:$AM$40,1,ROWS($B$6:B32))</f>
        <v>0</v>
      </c>
      <c r="H32" s="133">
        <f t="shared" ca="1" si="2"/>
        <v>0</v>
      </c>
      <c r="I32" s="133">
        <f t="shared" ca="1" si="3"/>
        <v>0</v>
      </c>
    </row>
    <row r="33" spans="1:41">
      <c r="A33" s="106"/>
      <c r="B33" s="131" cm="1">
        <f t="array" ref="B33">INDEX('Cash Flow'!$E$6:$AM$6,1,ROWS($B$6:B33))</f>
        <v>28</v>
      </c>
      <c r="C33" s="132">
        <f ca="1">IF(B33&gt;'User Inputs'!$F$19,0,IF($C$4="Straight-line",1/'User Inputs'!$F$19,IF(AND(B33&gt;=1,B33&lt;=6),CHOOSE(B33,20%,32%,19.2%,11.52%,11.52%,5.76%),0)))</f>
        <v>0</v>
      </c>
      <c r="D33" s="133">
        <f t="shared" ca="1" si="0"/>
        <v>0</v>
      </c>
      <c r="E33" s="133">
        <f t="shared" ca="1" si="1"/>
        <v>0</v>
      </c>
      <c r="F33" s="133" cm="1">
        <f t="array" aca="1" ref="F33" ca="1">INDEX('Cash Flow'!$E$39:$AM$39,1,ROWS($B$6:B33))</f>
        <v>0</v>
      </c>
      <c r="G33" s="133" cm="1">
        <f t="array" aca="1" ref="G33" ca="1">INDEX('Cash Flow'!$E$40:$AM$40,1,ROWS($B$6:B33))</f>
        <v>0</v>
      </c>
      <c r="H33" s="133">
        <f t="shared" ca="1" si="2"/>
        <v>0</v>
      </c>
      <c r="I33" s="133">
        <f t="shared" ca="1" si="3"/>
        <v>0</v>
      </c>
    </row>
    <row r="34" spans="1:41">
      <c r="A34" s="106"/>
      <c r="B34" s="131" cm="1">
        <f t="array" ref="B34">INDEX('Cash Flow'!$E$6:$AM$6,1,ROWS($B$6:B34))</f>
        <v>29</v>
      </c>
      <c r="C34" s="132">
        <f ca="1">IF(B34&gt;'User Inputs'!$F$19,0,IF($C$4="Straight-line",1/'User Inputs'!$F$19,IF(AND(B34&gt;=1,B34&lt;=6),CHOOSE(B34,20%,32%,19.2%,11.52%,11.52%,5.76%),0)))</f>
        <v>0</v>
      </c>
      <c r="D34" s="133">
        <f t="shared" ca="1" si="0"/>
        <v>0</v>
      </c>
      <c r="E34" s="133">
        <f t="shared" ca="1" si="1"/>
        <v>0</v>
      </c>
      <c r="F34" s="133" cm="1">
        <f t="array" aca="1" ref="F34" ca="1">INDEX('Cash Flow'!$E$39:$AM$39,1,ROWS($B$6:B34))</f>
        <v>0</v>
      </c>
      <c r="G34" s="133" cm="1">
        <f t="array" aca="1" ref="G34" ca="1">INDEX('Cash Flow'!$E$40:$AM$40,1,ROWS($B$6:B34))</f>
        <v>0</v>
      </c>
      <c r="H34" s="133">
        <f t="shared" ca="1" si="2"/>
        <v>0</v>
      </c>
      <c r="I34" s="133">
        <f t="shared" ca="1" si="3"/>
        <v>0</v>
      </c>
    </row>
    <row r="35" spans="1:41">
      <c r="A35" s="106"/>
      <c r="B35" s="131" cm="1">
        <f t="array" ref="B35">INDEX('Cash Flow'!$E$6:$AM$6,1,ROWS($B$6:B35))</f>
        <v>30</v>
      </c>
      <c r="C35" s="132">
        <f ca="1">IF(B35&gt;'User Inputs'!$F$19,0,IF($C$4="Straight-line",1/'User Inputs'!$F$19,IF(AND(B35&gt;=1,B35&lt;=6),CHOOSE(B35,20%,32%,19.2%,11.52%,11.52%,5.76%),0)))</f>
        <v>0</v>
      </c>
      <c r="D35" s="133">
        <f t="shared" ca="1" si="0"/>
        <v>0</v>
      </c>
      <c r="E35" s="133">
        <f t="shared" ca="1" si="1"/>
        <v>0</v>
      </c>
      <c r="F35" s="133" cm="1">
        <f t="array" aca="1" ref="F35" ca="1">INDEX('Cash Flow'!$E$39:$AM$39,1,ROWS($B$6:B35))</f>
        <v>0</v>
      </c>
      <c r="G35" s="133" cm="1">
        <f t="array" aca="1" ref="G35" ca="1">INDEX('Cash Flow'!$E$40:$AM$40,1,ROWS($B$6:B35))</f>
        <v>0</v>
      </c>
      <c r="H35" s="133">
        <f t="shared" ca="1" si="2"/>
        <v>0</v>
      </c>
      <c r="I35" s="133">
        <f t="shared" ca="1" si="3"/>
        <v>0</v>
      </c>
    </row>
    <row r="36" spans="1:41">
      <c r="A36" s="106"/>
      <c r="B36" s="131" cm="1">
        <f t="array" ref="B36">INDEX('Cash Flow'!$E$6:$AM$6,1,ROWS($B$6:B36))</f>
        <v>31</v>
      </c>
      <c r="C36" s="132">
        <f ca="1">IF(B36&gt;'User Inputs'!$F$19,0,IF($C$4="Straight-line",1/'User Inputs'!$F$19,IF(AND(B36&gt;=1,B36&lt;=6),CHOOSE(B36,20%,32%,19.2%,11.52%,11.52%,5.76%),0)))</f>
        <v>0</v>
      </c>
      <c r="D36" s="133">
        <f t="shared" ca="1" si="0"/>
        <v>0</v>
      </c>
      <c r="E36" s="133">
        <f t="shared" ca="1" si="1"/>
        <v>0</v>
      </c>
      <c r="F36" s="133" cm="1">
        <f t="array" aca="1" ref="F36" ca="1">INDEX('Cash Flow'!$E$39:$AM$39,1,ROWS($B$6:B36))</f>
        <v>0</v>
      </c>
      <c r="G36" s="133" cm="1">
        <f t="array" aca="1" ref="G36" ca="1">INDEX('Cash Flow'!$E$40:$AM$40,1,ROWS($B$6:B36))</f>
        <v>0</v>
      </c>
      <c r="H36" s="133">
        <f t="shared" ca="1" si="2"/>
        <v>0</v>
      </c>
      <c r="I36" s="133">
        <f t="shared" ca="1" si="3"/>
        <v>0</v>
      </c>
    </row>
    <row r="37" spans="1:41">
      <c r="A37" s="106"/>
      <c r="B37" s="131" cm="1">
        <f t="array" ref="B37">INDEX('Cash Flow'!$E$6:$AM$6,1,ROWS($B$6:B37))</f>
        <v>32</v>
      </c>
      <c r="C37" s="132">
        <f ca="1">IF(B37&gt;'User Inputs'!$F$19,0,IF($C$4="Straight-line",1/'User Inputs'!$F$19,IF(AND(B37&gt;=1,B37&lt;=6),CHOOSE(B37,20%,32%,19.2%,11.52%,11.52%,5.76%),0)))</f>
        <v>0</v>
      </c>
      <c r="D37" s="133">
        <f t="shared" ca="1" si="0"/>
        <v>0</v>
      </c>
      <c r="E37" s="133">
        <f t="shared" ca="1" si="1"/>
        <v>0</v>
      </c>
      <c r="F37" s="133" cm="1">
        <f t="array" aca="1" ref="F37" ca="1">INDEX('Cash Flow'!$E$39:$AM$39,1,ROWS($B$6:B37))</f>
        <v>0</v>
      </c>
      <c r="G37" s="133" cm="1">
        <f t="array" aca="1" ref="G37" ca="1">INDEX('Cash Flow'!$E$40:$AM$40,1,ROWS($B$6:B37))</f>
        <v>0</v>
      </c>
      <c r="H37" s="133">
        <f t="shared" ca="1" si="2"/>
        <v>0</v>
      </c>
      <c r="I37" s="133">
        <f t="shared" ca="1" si="3"/>
        <v>0</v>
      </c>
    </row>
    <row r="38" spans="1:41">
      <c r="A38" s="106"/>
      <c r="B38" s="131" cm="1">
        <f t="array" ref="B38">INDEX('Cash Flow'!$E$6:$AM$6,1,ROWS($B$6:B38))</f>
        <v>33</v>
      </c>
      <c r="C38" s="132">
        <f ca="1">IF(B38&gt;'User Inputs'!$F$19,0,IF($C$4="Straight-line",1/'User Inputs'!$F$19,IF(AND(B38&gt;=1,B38&lt;=6),CHOOSE(B38,20%,32%,19.2%,11.52%,11.52%,5.76%),0)))</f>
        <v>0</v>
      </c>
      <c r="D38" s="133">
        <f t="shared" ca="1" si="0"/>
        <v>0</v>
      </c>
      <c r="E38" s="133">
        <f t="shared" ca="1" si="1"/>
        <v>0</v>
      </c>
      <c r="F38" s="133" cm="1">
        <f t="array" aca="1" ref="F38" ca="1">INDEX('Cash Flow'!$E$39:$AM$39,1,ROWS($B$6:B38))</f>
        <v>0</v>
      </c>
      <c r="G38" s="133" cm="1">
        <f t="array" aca="1" ref="G38" ca="1">INDEX('Cash Flow'!$E$40:$AM$40,1,ROWS($B$6:B38))</f>
        <v>0</v>
      </c>
      <c r="H38" s="133">
        <f t="shared" ca="1" si="2"/>
        <v>0</v>
      </c>
      <c r="I38" s="133">
        <f t="shared" ca="1" si="3"/>
        <v>0</v>
      </c>
    </row>
    <row r="39" spans="1:41">
      <c r="A39" s="106"/>
      <c r="B39" s="131" cm="1">
        <f t="array" ref="B39">INDEX('Cash Flow'!$E$6:$AM$6,1,ROWS($B$6:B39))</f>
        <v>34</v>
      </c>
      <c r="C39" s="132">
        <f ca="1">IF(B39&gt;'User Inputs'!$F$19,0,IF($C$4="Straight-line",1/'User Inputs'!$F$19,IF(AND(B39&gt;=1,B39&lt;=6),CHOOSE(B39,20%,32%,19.2%,11.52%,11.52%,5.76%),0)))</f>
        <v>0</v>
      </c>
      <c r="D39" s="133">
        <f t="shared" ca="1" si="0"/>
        <v>0</v>
      </c>
      <c r="E39" s="133">
        <f t="shared" ca="1" si="1"/>
        <v>0</v>
      </c>
      <c r="F39" s="133" cm="1">
        <f t="array" aca="1" ref="F39" ca="1">INDEX('Cash Flow'!$E$39:$AM$39,1,ROWS($B$6:B39))</f>
        <v>0</v>
      </c>
      <c r="G39" s="133" cm="1">
        <f t="array" aca="1" ref="G39" ca="1">INDEX('Cash Flow'!$E$40:$AM$40,1,ROWS($B$6:B39))</f>
        <v>0</v>
      </c>
      <c r="H39" s="133">
        <f t="shared" ca="1" si="2"/>
        <v>0</v>
      </c>
      <c r="I39" s="133">
        <f t="shared" ca="1" si="3"/>
        <v>0</v>
      </c>
    </row>
    <row r="40" spans="1:41">
      <c r="A40" s="106"/>
      <c r="B40" s="131" cm="1">
        <f t="array" ref="B40">INDEX('Cash Flow'!$E$6:$AM$6,1,ROWS($B$6:B40))</f>
        <v>35</v>
      </c>
      <c r="C40" s="132">
        <f ca="1">IF(B40&gt;'User Inputs'!$F$19,0,IF($C$4="Straight-line",1/'User Inputs'!$F$19,IF(AND(B40&gt;=1,B40&lt;=6),CHOOSE(B40,20%,32%,19.2%,11.52%,11.52%,5.76%),0)))</f>
        <v>0</v>
      </c>
      <c r="D40" s="133">
        <f t="shared" ca="1" si="0"/>
        <v>0</v>
      </c>
      <c r="E40" s="133">
        <f t="shared" ca="1" si="1"/>
        <v>0</v>
      </c>
      <c r="F40" s="133" cm="1">
        <f t="array" aca="1" ref="F40" ca="1">INDEX('Cash Flow'!$E$39:$AM$39,1,ROWS($B$6:B40))</f>
        <v>0</v>
      </c>
      <c r="G40" s="133" cm="1">
        <f t="array" aca="1" ref="G40" ca="1">INDEX('Cash Flow'!$E$40:$AM$40,1,ROWS($B$6:B40))</f>
        <v>0</v>
      </c>
      <c r="H40" s="133">
        <f t="shared" ca="1" si="2"/>
        <v>0</v>
      </c>
      <c r="I40" s="133">
        <f t="shared" ca="1" si="3"/>
        <v>0</v>
      </c>
    </row>
    <row r="41" spans="1:41">
      <c r="A41" s="106"/>
      <c r="B41" s="134"/>
      <c r="C41" s="135">
        <f ca="1">SUM($C$6:$C$40)</f>
        <v>0.99999999999999989</v>
      </c>
      <c r="D41" s="136">
        <f ca="1">SUM($D$6:$D$40)</f>
        <v>0</v>
      </c>
      <c r="E41" s="136">
        <f ca="1">SUM($E$6:$E$40)</f>
        <v>0</v>
      </c>
      <c r="F41" s="136">
        <f ca="1">SUM($F$6:$F$40)</f>
        <v>0</v>
      </c>
      <c r="G41" s="136">
        <f ca="1">SUM($G$6:$G$40)</f>
        <v>0</v>
      </c>
      <c r="H41" s="136">
        <f ca="1">SUM($H$6:$H$40)</f>
        <v>0</v>
      </c>
      <c r="I41" s="136">
        <f ca="1">SUM($I$6:$I$40)</f>
        <v>0</v>
      </c>
    </row>
    <row r="42" spans="1:41" s="5" customFormat="1" ht="13.5" customHeight="1">
      <c r="A42" s="16"/>
      <c r="B42" s="137"/>
      <c r="C42" s="16"/>
      <c r="D42" s="137"/>
      <c r="E42" s="18"/>
      <c r="F42" s="19"/>
      <c r="G42" s="18"/>
      <c r="H42" s="20"/>
      <c r="I42" s="20"/>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row>
    <row r="43" spans="1:41" s="5" customFormat="1" ht="18" customHeight="1">
      <c r="A43" s="21"/>
      <c r="B43" s="21"/>
      <c r="C43" s="21"/>
      <c r="D43" s="21"/>
      <c r="E43" s="21"/>
      <c r="F43" s="21"/>
      <c r="G43" s="21"/>
      <c r="H43" s="21"/>
      <c r="I43" s="21"/>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row>
    <row r="44" spans="1:41" s="5" customFormat="1" ht="7.5" customHeight="1">
      <c r="A44" s="22"/>
      <c r="B44" s="22"/>
      <c r="C44" s="22"/>
      <c r="D44" s="22"/>
      <c r="E44" s="22"/>
      <c r="F44" s="22"/>
      <c r="G44" s="22"/>
      <c r="H44" s="22"/>
      <c r="I44" s="2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row>
    <row r="45" spans="1:41" s="120" customFormat="1">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row>
  </sheetData>
  <sheetProtection algorithmName="SHA-512" hashValue="gHBvYSPcfS8ifha9ygYz2s6307dteaqeFrpV7xI8/QRCo3CWnUnxr7/33VMCZvdCMPzVxwp9z9dFn5h3Xp8mkA==" saltValue="24MoJftfG9ikd3WIpJ28mg==" spinCount="100000" sheet="1" objects="1" scenarios="1"/>
  <mergeCells count="1">
    <mergeCell ref="C3:G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4F0A1-977B-4C6C-984B-CD9CBDAC15A0}">
  <dimension ref="A1:AP165"/>
  <sheetViews>
    <sheetView showGridLines="0" topLeftCell="A46" zoomScale="90" zoomScaleNormal="90" workbookViewId="0">
      <selection activeCell="B60" sqref="B60"/>
    </sheetView>
  </sheetViews>
  <sheetFormatPr defaultColWidth="9" defaultRowHeight="14.45"/>
  <cols>
    <col min="1" max="1" width="9" style="102"/>
    <col min="2" max="2" width="19.625" style="102" bestFit="1" customWidth="1"/>
    <col min="3" max="3" width="31" style="102" bestFit="1" customWidth="1"/>
    <col min="4" max="4" width="26.125" style="102" customWidth="1"/>
    <col min="5" max="5" width="21.5" style="102" bestFit="1" customWidth="1"/>
    <col min="6" max="6" width="9" style="102"/>
    <col min="7" max="7" width="26.875" style="102" bestFit="1" customWidth="1"/>
    <col min="8" max="8" width="28.5" style="102" bestFit="1" customWidth="1"/>
    <col min="9" max="9" width="29.875" style="102" bestFit="1" customWidth="1"/>
    <col min="10" max="16384" width="9" style="102"/>
  </cols>
  <sheetData>
    <row r="1" spans="1:9" ht="18" customHeight="1">
      <c r="A1" s="101"/>
      <c r="B1" s="101"/>
      <c r="C1" s="101"/>
      <c r="D1" s="101"/>
      <c r="E1" s="101"/>
      <c r="F1" s="101"/>
      <c r="G1" s="101"/>
      <c r="H1" s="101"/>
      <c r="I1" s="101"/>
    </row>
    <row r="2" spans="1:9" ht="46.5" customHeight="1">
      <c r="A2" s="103"/>
      <c r="B2" s="386" t="s">
        <v>430</v>
      </c>
      <c r="C2" s="386"/>
      <c r="D2" s="386"/>
      <c r="E2" s="386"/>
      <c r="F2" s="386"/>
      <c r="G2" s="386"/>
      <c r="H2" s="386"/>
      <c r="I2" s="386"/>
    </row>
    <row r="3" spans="1:9" ht="23.45">
      <c r="A3" s="16"/>
      <c r="B3" s="104" t="s">
        <v>431</v>
      </c>
      <c r="C3" s="105"/>
      <c r="D3" s="106"/>
      <c r="E3" s="107" t="s">
        <v>432</v>
      </c>
      <c r="F3" s="106"/>
      <c r="G3" s="106"/>
      <c r="H3" s="106" t="b">
        <f ca="1">AND(
'User Inputs'!$F$8&lt;&gt;"",
'User Inputs'!$B$17&lt;&gt;"",
'User Inputs'!$D$17&lt;&gt;"",
IF('User Inputs'!$F$8="Storage",
'User Inputs'!$B$17="Battery Storage",
AND(
OR('User Inputs'!$F$8="Tier 1 RE",
'User Inputs'!$F$8="TIER 1 RE + Storage"),
'User Inputs'!$B$17&lt;&gt;"Battery Storage"
)),
IFERROR(COUNTIF(
INDIRECT(SUBSTITUTE(SUBSTITUTE('User Inputs'!$B$17," ","_"),"-","_")),
'User Inputs'!$D$17),0)&gt;0
)</f>
        <v>0</v>
      </c>
      <c r="I3" s="106"/>
    </row>
    <row r="4" spans="1:9" ht="23.45">
      <c r="A4" s="16"/>
      <c r="B4" s="108" t="s">
        <v>433</v>
      </c>
      <c r="C4" s="106"/>
      <c r="D4" s="106"/>
      <c r="E4" s="109" t="s">
        <v>434</v>
      </c>
      <c r="F4" s="106"/>
      <c r="G4" s="106"/>
      <c r="H4" s="106"/>
      <c r="I4" s="106"/>
    </row>
    <row r="5" spans="1:9" ht="23.45">
      <c r="A5" s="16"/>
      <c r="B5" s="108" t="s">
        <v>435</v>
      </c>
      <c r="C5" s="106"/>
      <c r="D5" s="106"/>
      <c r="E5" s="109" t="s">
        <v>436</v>
      </c>
      <c r="F5" s="106"/>
      <c r="G5" s="106"/>
      <c r="H5" s="106"/>
      <c r="I5" s="106"/>
    </row>
    <row r="6" spans="1:9" ht="23.45">
      <c r="A6" s="16"/>
      <c r="B6" s="108" t="s">
        <v>437</v>
      </c>
      <c r="C6" s="106"/>
      <c r="D6" s="106"/>
      <c r="E6" s="109" t="s">
        <v>438</v>
      </c>
      <c r="F6" s="106"/>
      <c r="G6" s="106"/>
      <c r="H6" s="106"/>
      <c r="I6" s="106"/>
    </row>
    <row r="7" spans="1:9" ht="23.45">
      <c r="A7" s="16"/>
      <c r="B7" s="108" t="s">
        <v>439</v>
      </c>
      <c r="C7" s="106"/>
      <c r="D7" s="106"/>
      <c r="E7" s="110"/>
      <c r="F7" s="106"/>
      <c r="G7" s="106"/>
      <c r="H7" s="106"/>
      <c r="I7" s="106"/>
    </row>
    <row r="8" spans="1:9" ht="23.45">
      <c r="A8" s="16"/>
      <c r="B8" s="108" t="s">
        <v>440</v>
      </c>
      <c r="C8" s="106"/>
      <c r="D8" s="106"/>
      <c r="E8" s="110"/>
      <c r="F8" s="106"/>
      <c r="G8" s="106"/>
      <c r="H8" s="106"/>
      <c r="I8" s="106"/>
    </row>
    <row r="9" spans="1:9" ht="23.45">
      <c r="A9" s="16"/>
      <c r="B9" s="108" t="s">
        <v>441</v>
      </c>
      <c r="C9" s="106"/>
      <c r="D9" s="106"/>
      <c r="E9" s="110"/>
      <c r="F9" s="106"/>
      <c r="G9" s="106"/>
      <c r="H9" s="106"/>
      <c r="I9" s="106"/>
    </row>
    <row r="10" spans="1:9" ht="23.45">
      <c r="A10" s="16"/>
      <c r="B10" s="108" t="s">
        <v>442</v>
      </c>
      <c r="C10" s="106"/>
      <c r="D10" s="106"/>
      <c r="E10" s="111"/>
      <c r="F10" s="106"/>
      <c r="G10" s="106"/>
      <c r="H10" s="106"/>
      <c r="I10" s="106"/>
    </row>
    <row r="11" spans="1:9" ht="23.45">
      <c r="A11" s="16"/>
      <c r="B11" s="108" t="s">
        <v>443</v>
      </c>
      <c r="C11" s="106"/>
      <c r="D11" s="106"/>
      <c r="E11" s="111"/>
      <c r="F11" s="106"/>
      <c r="G11" s="106"/>
      <c r="H11" s="106"/>
      <c r="I11" s="106"/>
    </row>
    <row r="12" spans="1:9" ht="23.45">
      <c r="A12" s="16"/>
      <c r="B12" s="108" t="s">
        <v>444</v>
      </c>
      <c r="C12" s="106"/>
      <c r="D12" s="106"/>
      <c r="E12" s="111"/>
      <c r="F12" s="106"/>
      <c r="G12" s="106"/>
      <c r="H12" s="106"/>
      <c r="I12" s="106"/>
    </row>
    <row r="13" spans="1:9" ht="23.45">
      <c r="A13" s="16"/>
      <c r="B13" s="108" t="s">
        <v>445</v>
      </c>
      <c r="C13" s="106"/>
      <c r="D13" s="106"/>
      <c r="E13" s="111"/>
      <c r="F13" s="106"/>
      <c r="G13" s="106"/>
      <c r="H13" s="106"/>
      <c r="I13" s="106"/>
    </row>
    <row r="14" spans="1:9" ht="23.45">
      <c r="A14" s="16"/>
      <c r="B14" s="108" t="s">
        <v>446</v>
      </c>
      <c r="C14" s="106"/>
      <c r="D14" s="106"/>
      <c r="E14" s="111"/>
      <c r="F14" s="106"/>
      <c r="G14" s="106"/>
      <c r="H14" s="106"/>
      <c r="I14" s="106"/>
    </row>
    <row r="15" spans="1:9" ht="23.45">
      <c r="A15" s="16"/>
      <c r="B15" s="112" t="s">
        <v>447</v>
      </c>
      <c r="C15" s="106"/>
      <c r="D15" s="106"/>
      <c r="E15" s="111"/>
      <c r="F15" s="106"/>
      <c r="G15" s="106"/>
      <c r="H15" s="106"/>
      <c r="I15" s="106"/>
    </row>
    <row r="16" spans="1:9" ht="23.45">
      <c r="A16" s="16"/>
      <c r="B16" s="106"/>
      <c r="C16" s="106"/>
      <c r="D16" s="106"/>
      <c r="E16" s="111"/>
      <c r="F16" s="106"/>
      <c r="G16" s="106"/>
      <c r="H16" s="106"/>
      <c r="I16" s="106"/>
    </row>
    <row r="17" spans="1:9" ht="23.45">
      <c r="A17" s="16"/>
      <c r="B17" s="106"/>
      <c r="C17" s="106"/>
      <c r="D17" s="106"/>
      <c r="E17" s="111"/>
      <c r="F17" s="106"/>
      <c r="G17" s="106"/>
      <c r="H17" s="106"/>
      <c r="I17" s="106"/>
    </row>
    <row r="18" spans="1:9" ht="23.45">
      <c r="A18" s="16"/>
      <c r="B18" s="104" t="s">
        <v>448</v>
      </c>
      <c r="C18" s="104" t="s">
        <v>449</v>
      </c>
      <c r="D18" s="104" t="s">
        <v>450</v>
      </c>
      <c r="E18" s="111"/>
      <c r="F18" s="106"/>
      <c r="G18" s="104" t="s">
        <v>451</v>
      </c>
      <c r="H18" s="104" t="s">
        <v>452</v>
      </c>
      <c r="I18" s="104" t="s">
        <v>453</v>
      </c>
    </row>
    <row r="19" spans="1:9" ht="23.45">
      <c r="A19" s="16"/>
      <c r="B19" s="108" t="s">
        <v>454</v>
      </c>
      <c r="C19" s="108">
        <v>16</v>
      </c>
      <c r="D19" s="113">
        <v>3.0417E-2</v>
      </c>
      <c r="E19" s="111"/>
      <c r="F19" s="106"/>
      <c r="G19" s="108" t="s">
        <v>455</v>
      </c>
      <c r="H19" s="108" t="s">
        <v>456</v>
      </c>
      <c r="I19" s="108" t="s">
        <v>457</v>
      </c>
    </row>
    <row r="20" spans="1:9" ht="23.45">
      <c r="A20" s="16"/>
      <c r="B20" s="108" t="s">
        <v>458</v>
      </c>
      <c r="C20" s="108">
        <v>13</v>
      </c>
      <c r="D20" s="113">
        <v>4.8025999999999999E-2</v>
      </c>
      <c r="E20" s="111"/>
      <c r="F20" s="106"/>
      <c r="G20" s="108" t="s">
        <v>459</v>
      </c>
      <c r="H20" s="108" t="s">
        <v>460</v>
      </c>
      <c r="I20" s="108" t="s">
        <v>461</v>
      </c>
    </row>
    <row r="21" spans="1:9" ht="23.45">
      <c r="A21" s="16"/>
      <c r="B21" s="108" t="s">
        <v>462</v>
      </c>
      <c r="C21" s="108">
        <v>14</v>
      </c>
      <c r="D21" s="113">
        <v>6.1647E-2</v>
      </c>
      <c r="E21" s="111"/>
      <c r="F21" s="106"/>
      <c r="G21" s="108" t="s">
        <v>463</v>
      </c>
      <c r="H21" s="108" t="s">
        <v>464</v>
      </c>
      <c r="I21" s="108" t="s">
        <v>465</v>
      </c>
    </row>
    <row r="22" spans="1:9" ht="23.45">
      <c r="A22" s="16"/>
      <c r="B22" s="108" t="s">
        <v>466</v>
      </c>
      <c r="C22" s="108">
        <v>12</v>
      </c>
      <c r="D22" s="113">
        <v>1.3905000000000001E-2</v>
      </c>
      <c r="E22" s="111"/>
      <c r="F22" s="106"/>
      <c r="G22" s="108" t="s">
        <v>467</v>
      </c>
      <c r="H22" s="108" t="s">
        <v>468</v>
      </c>
      <c r="I22" s="108" t="s">
        <v>469</v>
      </c>
    </row>
    <row r="23" spans="1:9" ht="23.45">
      <c r="A23" s="16"/>
      <c r="B23" s="108" t="s">
        <v>470</v>
      </c>
      <c r="C23" s="108">
        <v>12</v>
      </c>
      <c r="D23" s="113">
        <v>1.9796999999999999E-2</v>
      </c>
      <c r="E23" s="111"/>
      <c r="F23" s="106"/>
      <c r="G23" s="108" t="s">
        <v>471</v>
      </c>
      <c r="H23" s="108" t="s">
        <v>472</v>
      </c>
      <c r="I23" s="108" t="s">
        <v>473</v>
      </c>
    </row>
    <row r="24" spans="1:9" ht="23.45">
      <c r="A24" s="16"/>
      <c r="B24" s="108" t="s">
        <v>474</v>
      </c>
      <c r="C24" s="108">
        <v>60</v>
      </c>
      <c r="D24" s="113">
        <v>0</v>
      </c>
      <c r="E24" s="111"/>
      <c r="F24" s="106"/>
      <c r="G24" s="108" t="s">
        <v>475</v>
      </c>
      <c r="H24" s="108" t="s">
        <v>476</v>
      </c>
      <c r="I24" s="108" t="s">
        <v>477</v>
      </c>
    </row>
    <row r="25" spans="1:9" ht="23.45">
      <c r="A25" s="16"/>
      <c r="B25" s="108" t="s">
        <v>478</v>
      </c>
      <c r="C25" s="108">
        <v>0</v>
      </c>
      <c r="D25" s="113" t="s">
        <v>479</v>
      </c>
      <c r="E25" s="111"/>
      <c r="F25" s="106"/>
      <c r="G25" s="108" t="s">
        <v>480</v>
      </c>
      <c r="H25" s="108" t="s">
        <v>481</v>
      </c>
      <c r="I25" s="108" t="s">
        <v>482</v>
      </c>
    </row>
    <row r="26" spans="1:9">
      <c r="A26" s="111"/>
      <c r="B26" s="111"/>
      <c r="C26" s="111"/>
      <c r="D26" s="111"/>
      <c r="E26" s="111"/>
      <c r="F26" s="106"/>
      <c r="G26" s="108" t="s">
        <v>483</v>
      </c>
      <c r="H26" s="108" t="s">
        <v>484</v>
      </c>
      <c r="I26" s="108" t="s">
        <v>485</v>
      </c>
    </row>
    <row r="27" spans="1:9">
      <c r="A27" s="111"/>
      <c r="B27" s="111"/>
      <c r="C27" s="111"/>
      <c r="D27" s="111"/>
      <c r="E27" s="111"/>
      <c r="F27" s="106"/>
      <c r="G27" s="108" t="s">
        <v>486</v>
      </c>
      <c r="H27" s="108" t="s">
        <v>487</v>
      </c>
      <c r="I27" s="108" t="s">
        <v>488</v>
      </c>
    </row>
    <row r="28" spans="1:9" ht="23.45">
      <c r="A28" s="16"/>
      <c r="B28" s="104" t="s">
        <v>489</v>
      </c>
      <c r="C28" s="104" t="s">
        <v>449</v>
      </c>
      <c r="D28" s="104" t="s">
        <v>450</v>
      </c>
      <c r="E28" s="111"/>
      <c r="F28" s="106"/>
      <c r="G28" s="108" t="s">
        <v>490</v>
      </c>
      <c r="H28" s="108" t="s">
        <v>491</v>
      </c>
      <c r="I28" s="108" t="s">
        <v>492</v>
      </c>
    </row>
    <row r="29" spans="1:9" ht="23.45">
      <c r="A29" s="16"/>
      <c r="B29" s="108" t="s">
        <v>493</v>
      </c>
      <c r="C29" s="108">
        <v>30</v>
      </c>
      <c r="D29" s="113">
        <v>5.0000000000000001E-3</v>
      </c>
      <c r="E29" s="111"/>
      <c r="F29" s="106"/>
      <c r="G29" s="108" t="s">
        <v>494</v>
      </c>
      <c r="H29" s="108" t="s">
        <v>495</v>
      </c>
      <c r="I29" s="108" t="s">
        <v>496</v>
      </c>
    </row>
    <row r="30" spans="1:9" ht="23.45">
      <c r="A30" s="16"/>
      <c r="B30" s="108" t="s">
        <v>497</v>
      </c>
      <c r="C30" s="108">
        <v>30</v>
      </c>
      <c r="D30" s="113">
        <v>6.8999999999999999E-3</v>
      </c>
      <c r="E30" s="111"/>
      <c r="F30" s="106"/>
      <c r="G30" s="108" t="s">
        <v>498</v>
      </c>
      <c r="H30" s="108" t="s">
        <v>499</v>
      </c>
      <c r="I30" s="108" t="s">
        <v>500</v>
      </c>
    </row>
    <row r="31" spans="1:9" ht="23.45">
      <c r="A31" s="16"/>
      <c r="B31" s="108" t="s">
        <v>501</v>
      </c>
      <c r="C31" s="108">
        <v>30</v>
      </c>
      <c r="D31" s="113">
        <v>5.1000000000000004E-3</v>
      </c>
      <c r="E31" s="111"/>
      <c r="F31" s="106"/>
      <c r="G31" s="108" t="s">
        <v>502</v>
      </c>
      <c r="H31" s="108" t="s">
        <v>503</v>
      </c>
      <c r="I31" s="108" t="s">
        <v>504</v>
      </c>
    </row>
    <row r="32" spans="1:9" ht="23.45">
      <c r="A32" s="16"/>
      <c r="B32" s="108" t="s">
        <v>505</v>
      </c>
      <c r="C32" s="108">
        <v>30</v>
      </c>
      <c r="D32" s="113">
        <v>7.9000000000000008E-3</v>
      </c>
      <c r="E32" s="111"/>
      <c r="F32" s="106"/>
      <c r="G32" s="108" t="s">
        <v>506</v>
      </c>
      <c r="H32" s="108" t="s">
        <v>507</v>
      </c>
      <c r="I32" s="108" t="s">
        <v>508</v>
      </c>
    </row>
    <row r="33" spans="1:9" ht="23.45">
      <c r="A33" s="16"/>
      <c r="B33" s="108" t="s">
        <v>509</v>
      </c>
      <c r="C33" s="108">
        <v>30</v>
      </c>
      <c r="D33" s="113">
        <v>6.1000000000000004E-3</v>
      </c>
      <c r="E33" s="111"/>
      <c r="F33" s="106"/>
      <c r="G33" s="108" t="s">
        <v>510</v>
      </c>
      <c r="H33" s="108" t="s">
        <v>511</v>
      </c>
      <c r="I33" s="108" t="s">
        <v>512</v>
      </c>
    </row>
    <row r="34" spans="1:9" ht="23.45">
      <c r="A34" s="16"/>
      <c r="B34" s="108" t="s">
        <v>513</v>
      </c>
      <c r="C34" s="108">
        <v>30</v>
      </c>
      <c r="D34" s="113">
        <v>7.4000000000000003E-3</v>
      </c>
      <c r="E34" s="111"/>
      <c r="F34" s="106"/>
      <c r="G34" s="108" t="s">
        <v>514</v>
      </c>
      <c r="H34" s="108" t="s">
        <v>515</v>
      </c>
      <c r="I34" s="108" t="s">
        <v>516</v>
      </c>
    </row>
    <row r="35" spans="1:9" ht="23.45">
      <c r="A35" s="16"/>
      <c r="B35" s="108" t="s">
        <v>478</v>
      </c>
      <c r="C35" s="108" t="s">
        <v>479</v>
      </c>
      <c r="D35" s="113" t="s">
        <v>479</v>
      </c>
      <c r="E35" s="111"/>
      <c r="F35" s="106"/>
      <c r="G35" s="108" t="s">
        <v>517</v>
      </c>
      <c r="H35" s="108" t="s">
        <v>518</v>
      </c>
      <c r="I35" s="108" t="s">
        <v>519</v>
      </c>
    </row>
    <row r="36" spans="1:9">
      <c r="A36" s="111"/>
      <c r="B36" s="111"/>
      <c r="C36" s="111"/>
      <c r="D36" s="111"/>
      <c r="E36" s="111"/>
      <c r="F36" s="106"/>
      <c r="G36" s="108" t="s">
        <v>520</v>
      </c>
      <c r="H36" s="108" t="s">
        <v>521</v>
      </c>
      <c r="I36" s="108" t="s">
        <v>522</v>
      </c>
    </row>
    <row r="37" spans="1:9">
      <c r="A37" s="111"/>
      <c r="B37" s="111"/>
      <c r="C37" s="111"/>
      <c r="D37" s="111"/>
      <c r="E37" s="111"/>
      <c r="F37" s="106"/>
      <c r="G37" s="108" t="s">
        <v>523</v>
      </c>
      <c r="H37" s="108" t="s">
        <v>524</v>
      </c>
      <c r="I37" s="108" t="s">
        <v>525</v>
      </c>
    </row>
    <row r="38" spans="1:9" ht="23.45">
      <c r="A38" s="16"/>
      <c r="B38" s="104" t="s">
        <v>526</v>
      </c>
      <c r="C38" s="104" t="s">
        <v>449</v>
      </c>
      <c r="D38" s="104" t="s">
        <v>450</v>
      </c>
      <c r="E38" s="111"/>
      <c r="F38" s="106"/>
      <c r="G38" s="108" t="s">
        <v>527</v>
      </c>
      <c r="H38" s="108" t="s">
        <v>528</v>
      </c>
      <c r="I38" s="108" t="s">
        <v>529</v>
      </c>
    </row>
    <row r="39" spans="1:9" ht="23.45">
      <c r="A39" s="16"/>
      <c r="B39" s="108" t="s">
        <v>530</v>
      </c>
      <c r="C39" s="108">
        <v>30</v>
      </c>
      <c r="D39" s="113">
        <v>1.6999999999999999E-3</v>
      </c>
      <c r="E39" s="111"/>
      <c r="F39" s="106"/>
      <c r="G39" s="108" t="s">
        <v>531</v>
      </c>
      <c r="H39" s="108" t="s">
        <v>532</v>
      </c>
      <c r="I39" s="108" t="s">
        <v>533</v>
      </c>
    </row>
    <row r="40" spans="1:9" ht="23.45">
      <c r="A40" s="16"/>
      <c r="B40" s="108" t="s">
        <v>534</v>
      </c>
      <c r="C40" s="108">
        <v>30</v>
      </c>
      <c r="D40" s="113">
        <v>1.6999999999999999E-3</v>
      </c>
      <c r="E40" s="111"/>
      <c r="F40" s="106"/>
      <c r="G40" s="106"/>
      <c r="H40" s="106"/>
      <c r="I40" s="106"/>
    </row>
    <row r="41" spans="1:9" ht="23.45">
      <c r="A41" s="16"/>
      <c r="B41" s="108" t="s">
        <v>478</v>
      </c>
      <c r="C41" s="108" t="s">
        <v>479</v>
      </c>
      <c r="D41" s="113" t="s">
        <v>479</v>
      </c>
      <c r="E41" s="111"/>
      <c r="F41" s="106"/>
      <c r="G41" s="106"/>
      <c r="H41" s="106"/>
      <c r="I41" s="106"/>
    </row>
    <row r="42" spans="1:9">
      <c r="A42" s="111"/>
      <c r="B42" s="111"/>
      <c r="C42" s="111"/>
      <c r="D42" s="111"/>
      <c r="E42" s="111"/>
      <c r="F42" s="106"/>
      <c r="G42" s="106"/>
      <c r="H42" s="106"/>
      <c r="I42" s="106"/>
    </row>
    <row r="43" spans="1:9">
      <c r="A43" s="111"/>
      <c r="B43" s="111"/>
      <c r="C43" s="111"/>
      <c r="D43" s="111"/>
      <c r="E43" s="111"/>
      <c r="F43" s="106"/>
      <c r="G43" s="106"/>
      <c r="H43" s="106"/>
      <c r="I43" s="106"/>
    </row>
    <row r="44" spans="1:9" ht="23.45">
      <c r="A44" s="16"/>
      <c r="B44" s="104" t="s">
        <v>439</v>
      </c>
      <c r="C44" s="104" t="s">
        <v>535</v>
      </c>
      <c r="D44" s="104" t="s">
        <v>536</v>
      </c>
      <c r="E44" s="111"/>
      <c r="F44" s="106"/>
      <c r="G44" s="104" t="s">
        <v>537</v>
      </c>
      <c r="H44" s="106"/>
      <c r="I44" s="106"/>
    </row>
    <row r="45" spans="1:9" ht="23.45">
      <c r="A45" s="16"/>
      <c r="B45" s="108" t="s">
        <v>439</v>
      </c>
      <c r="C45" s="108">
        <v>100</v>
      </c>
      <c r="D45" s="113" t="s">
        <v>479</v>
      </c>
      <c r="E45" s="111"/>
      <c r="F45" s="106"/>
      <c r="G45" s="108" t="s">
        <v>538</v>
      </c>
      <c r="H45" s="106"/>
      <c r="I45" s="106"/>
    </row>
    <row r="46" spans="1:9" ht="23.45">
      <c r="A46" s="16"/>
      <c r="B46" s="108" t="s">
        <v>478</v>
      </c>
      <c r="C46" s="108" t="s">
        <v>479</v>
      </c>
      <c r="D46" s="113" t="s">
        <v>479</v>
      </c>
      <c r="E46" s="111"/>
      <c r="F46" s="106"/>
      <c r="G46" s="108" t="s">
        <v>539</v>
      </c>
      <c r="H46" s="106"/>
      <c r="I46" s="106"/>
    </row>
    <row r="47" spans="1:9">
      <c r="A47" s="111"/>
      <c r="B47" s="111"/>
      <c r="C47" s="111"/>
      <c r="D47" s="111"/>
      <c r="E47" s="111"/>
      <c r="F47" s="106"/>
      <c r="G47" s="108" t="s">
        <v>540</v>
      </c>
      <c r="H47" s="106"/>
      <c r="I47" s="106"/>
    </row>
    <row r="48" spans="1:9" ht="23.45">
      <c r="A48" s="16"/>
      <c r="B48" s="104" t="s">
        <v>440</v>
      </c>
      <c r="C48" s="104" t="s">
        <v>535</v>
      </c>
      <c r="D48" s="104" t="s">
        <v>536</v>
      </c>
      <c r="E48" s="111"/>
      <c r="F48" s="106"/>
      <c r="G48" s="106"/>
      <c r="H48" s="106"/>
      <c r="I48" s="106"/>
    </row>
    <row r="49" spans="1:9" ht="23.45">
      <c r="A49" s="16"/>
      <c r="B49" s="108" t="s">
        <v>440</v>
      </c>
      <c r="C49" s="108">
        <v>20</v>
      </c>
      <c r="D49" s="113" t="s">
        <v>479</v>
      </c>
      <c r="E49" s="111"/>
      <c r="F49" s="106"/>
      <c r="G49" s="106"/>
      <c r="H49" s="106"/>
      <c r="I49" s="106"/>
    </row>
    <row r="50" spans="1:9" ht="23.45">
      <c r="A50" s="16"/>
      <c r="B50" s="108" t="s">
        <v>478</v>
      </c>
      <c r="C50" s="108" t="s">
        <v>479</v>
      </c>
      <c r="D50" s="113" t="s">
        <v>479</v>
      </c>
      <c r="E50" s="111"/>
      <c r="F50" s="106"/>
      <c r="G50" s="387" t="s">
        <v>541</v>
      </c>
      <c r="H50" s="388"/>
      <c r="I50" s="106"/>
    </row>
    <row r="51" spans="1:9">
      <c r="A51" s="111"/>
      <c r="B51" s="111"/>
      <c r="C51" s="111"/>
      <c r="D51" s="111"/>
      <c r="E51" s="111"/>
      <c r="F51" s="106"/>
      <c r="G51" s="108" t="s">
        <v>542</v>
      </c>
      <c r="H51" s="108" t="s">
        <v>542</v>
      </c>
      <c r="I51" s="106"/>
    </row>
    <row r="52" spans="1:9" ht="23.45">
      <c r="A52" s="16"/>
      <c r="B52" s="104" t="s">
        <v>441</v>
      </c>
      <c r="C52" s="104" t="s">
        <v>535</v>
      </c>
      <c r="D52" s="104" t="s">
        <v>536</v>
      </c>
      <c r="E52" s="111"/>
      <c r="F52" s="106"/>
      <c r="G52" s="108"/>
      <c r="H52" s="108" t="s">
        <v>543</v>
      </c>
      <c r="I52" s="106"/>
    </row>
    <row r="53" spans="1:9" ht="23.45">
      <c r="A53" s="16"/>
      <c r="B53" s="108" t="s">
        <v>441</v>
      </c>
      <c r="C53" s="108">
        <v>15</v>
      </c>
      <c r="D53" s="113" t="s">
        <v>479</v>
      </c>
      <c r="E53" s="111"/>
      <c r="F53" s="106"/>
      <c r="G53" s="106"/>
      <c r="H53" s="106"/>
      <c r="I53" s="106"/>
    </row>
    <row r="54" spans="1:9" ht="23.45">
      <c r="A54" s="16"/>
      <c r="B54" s="108" t="s">
        <v>478</v>
      </c>
      <c r="C54" s="108" t="s">
        <v>479</v>
      </c>
      <c r="D54" s="113" t="s">
        <v>479</v>
      </c>
      <c r="E54" s="111"/>
      <c r="F54" s="106"/>
      <c r="G54" s="106"/>
      <c r="H54" s="106"/>
      <c r="I54" s="106"/>
    </row>
    <row r="55" spans="1:9">
      <c r="A55" s="111"/>
      <c r="B55" s="111"/>
      <c r="C55" s="111"/>
      <c r="D55" s="111"/>
      <c r="E55" s="111"/>
      <c r="F55" s="106"/>
      <c r="G55" s="106"/>
      <c r="H55" s="106"/>
      <c r="I55" s="106"/>
    </row>
    <row r="56" spans="1:9" ht="23.45">
      <c r="A56" s="16"/>
      <c r="B56" s="104" t="s">
        <v>442</v>
      </c>
      <c r="C56" s="104" t="s">
        <v>535</v>
      </c>
      <c r="D56" s="104" t="s">
        <v>536</v>
      </c>
      <c r="E56" s="111"/>
      <c r="F56" s="106"/>
      <c r="G56" s="106"/>
      <c r="H56" s="106"/>
      <c r="I56" s="106"/>
    </row>
    <row r="57" spans="1:9" ht="23.45">
      <c r="A57" s="16"/>
      <c r="B57" s="108" t="s">
        <v>442</v>
      </c>
      <c r="C57" s="108">
        <v>25</v>
      </c>
      <c r="D57" s="113" t="s">
        <v>479</v>
      </c>
      <c r="E57" s="111"/>
      <c r="F57" s="106"/>
      <c r="G57" s="106"/>
      <c r="H57" s="106"/>
      <c r="I57" s="106"/>
    </row>
    <row r="58" spans="1:9" ht="23.45">
      <c r="A58" s="16"/>
      <c r="B58" s="108" t="s">
        <v>478</v>
      </c>
      <c r="C58" s="108" t="s">
        <v>479</v>
      </c>
      <c r="D58" s="113" t="s">
        <v>479</v>
      </c>
      <c r="E58" s="111"/>
      <c r="F58" s="106"/>
      <c r="G58" s="106"/>
      <c r="H58" s="106"/>
      <c r="I58" s="106"/>
    </row>
    <row r="59" spans="1:9">
      <c r="A59" s="111"/>
      <c r="B59" s="111"/>
      <c r="C59" s="111"/>
      <c r="D59" s="111"/>
      <c r="E59" s="111"/>
      <c r="F59" s="106"/>
      <c r="G59" s="106"/>
      <c r="H59" s="106"/>
      <c r="I59" s="106"/>
    </row>
    <row r="60" spans="1:9" ht="23.45">
      <c r="A60" s="16"/>
      <c r="B60" s="104" t="s">
        <v>443</v>
      </c>
      <c r="C60" s="104" t="s">
        <v>535</v>
      </c>
      <c r="D60" s="104" t="s">
        <v>536</v>
      </c>
      <c r="E60" s="111"/>
      <c r="F60" s="106"/>
      <c r="G60" s="106"/>
      <c r="H60" s="106"/>
      <c r="I60" s="106"/>
    </row>
    <row r="61" spans="1:9" ht="23.45">
      <c r="A61" s="16"/>
      <c r="B61" s="108" t="s">
        <v>443</v>
      </c>
      <c r="C61" s="108">
        <v>25</v>
      </c>
      <c r="D61" s="113" t="s">
        <v>479</v>
      </c>
      <c r="E61" s="111"/>
      <c r="F61" s="106"/>
      <c r="G61" s="106"/>
      <c r="H61" s="106"/>
      <c r="I61" s="106"/>
    </row>
    <row r="62" spans="1:9" ht="23.45">
      <c r="A62" s="16"/>
      <c r="B62" s="108" t="s">
        <v>478</v>
      </c>
      <c r="C62" s="108" t="s">
        <v>479</v>
      </c>
      <c r="D62" s="113" t="s">
        <v>479</v>
      </c>
      <c r="E62" s="111"/>
      <c r="F62" s="106"/>
      <c r="G62" s="106"/>
      <c r="H62" s="106"/>
      <c r="I62" s="106"/>
    </row>
    <row r="63" spans="1:9">
      <c r="A63" s="111"/>
      <c r="B63" s="111"/>
      <c r="C63" s="111"/>
      <c r="D63" s="111"/>
      <c r="E63" s="111"/>
      <c r="F63" s="106"/>
      <c r="G63" s="106"/>
      <c r="H63" s="106"/>
      <c r="I63" s="106"/>
    </row>
    <row r="64" spans="1:9" ht="23.45">
      <c r="A64" s="16"/>
      <c r="B64" s="104" t="s">
        <v>444</v>
      </c>
      <c r="C64" s="104" t="s">
        <v>535</v>
      </c>
      <c r="D64" s="104" t="s">
        <v>536</v>
      </c>
      <c r="E64" s="111"/>
      <c r="F64" s="106"/>
      <c r="G64" s="106"/>
      <c r="H64" s="106"/>
      <c r="I64" s="106"/>
    </row>
    <row r="65" spans="1:9" ht="23.45">
      <c r="A65" s="16"/>
      <c r="B65" s="108" t="s">
        <v>444</v>
      </c>
      <c r="C65" s="108">
        <v>45</v>
      </c>
      <c r="D65" s="113" t="s">
        <v>479</v>
      </c>
      <c r="E65" s="111"/>
      <c r="F65" s="106"/>
      <c r="G65" s="106"/>
      <c r="H65" s="106"/>
      <c r="I65" s="106"/>
    </row>
    <row r="66" spans="1:9" ht="23.45">
      <c r="A66" s="16"/>
      <c r="B66" s="108" t="s">
        <v>478</v>
      </c>
      <c r="C66" s="108" t="s">
        <v>479</v>
      </c>
      <c r="D66" s="113" t="s">
        <v>479</v>
      </c>
      <c r="E66" s="111"/>
      <c r="F66" s="106"/>
      <c r="G66" s="106"/>
      <c r="H66" s="106"/>
      <c r="I66" s="106"/>
    </row>
    <row r="67" spans="1:9">
      <c r="A67" s="111"/>
      <c r="B67" s="111"/>
      <c r="C67" s="111"/>
      <c r="D67" s="111"/>
      <c r="E67" s="111"/>
      <c r="F67" s="106"/>
      <c r="G67" s="106"/>
      <c r="H67" s="106"/>
      <c r="I67" s="106"/>
    </row>
    <row r="68" spans="1:9" ht="23.45">
      <c r="A68" s="16"/>
      <c r="B68" s="104" t="s">
        <v>544</v>
      </c>
      <c r="C68" s="104" t="s">
        <v>545</v>
      </c>
      <c r="D68" s="104" t="s">
        <v>536</v>
      </c>
      <c r="E68" s="111"/>
      <c r="F68" s="106"/>
      <c r="G68" s="106"/>
      <c r="H68" s="106"/>
      <c r="I68" s="106"/>
    </row>
    <row r="69" spans="1:9" ht="23.45">
      <c r="A69" s="16"/>
      <c r="B69" s="108" t="s">
        <v>544</v>
      </c>
      <c r="C69" s="108">
        <v>30</v>
      </c>
      <c r="D69" s="113" t="s">
        <v>479</v>
      </c>
      <c r="E69" s="111"/>
      <c r="F69" s="106"/>
      <c r="G69" s="106"/>
      <c r="H69" s="106"/>
      <c r="I69" s="106"/>
    </row>
    <row r="70" spans="1:9" ht="23.45">
      <c r="A70" s="16"/>
      <c r="B70" s="108" t="s">
        <v>478</v>
      </c>
      <c r="C70" s="108" t="s">
        <v>479</v>
      </c>
      <c r="D70" s="113" t="s">
        <v>479</v>
      </c>
      <c r="E70" s="111"/>
      <c r="F70" s="106"/>
      <c r="G70" s="106"/>
      <c r="H70" s="106"/>
      <c r="I70" s="106"/>
    </row>
    <row r="71" spans="1:9">
      <c r="A71" s="111"/>
      <c r="B71" s="111"/>
      <c r="C71" s="111"/>
      <c r="D71" s="111"/>
      <c r="E71" s="111"/>
      <c r="F71" s="106"/>
      <c r="G71" s="106"/>
      <c r="H71" s="106"/>
      <c r="I71" s="106"/>
    </row>
    <row r="72" spans="1:9" ht="23.45">
      <c r="A72" s="16"/>
      <c r="B72" s="104" t="s">
        <v>446</v>
      </c>
      <c r="C72" s="104" t="s">
        <v>535</v>
      </c>
      <c r="D72" s="104" t="s">
        <v>536</v>
      </c>
      <c r="E72" s="111"/>
      <c r="F72" s="106"/>
      <c r="G72" s="106"/>
      <c r="H72" s="106"/>
      <c r="I72" s="106"/>
    </row>
    <row r="73" spans="1:9" ht="23.45">
      <c r="A73" s="16"/>
      <c r="B73" s="108" t="s">
        <v>446</v>
      </c>
      <c r="C73" s="108">
        <v>25</v>
      </c>
      <c r="D73" s="113" t="s">
        <v>479</v>
      </c>
      <c r="E73" s="111"/>
      <c r="F73" s="106"/>
      <c r="G73" s="106"/>
      <c r="H73" s="106"/>
      <c r="I73" s="106"/>
    </row>
    <row r="74" spans="1:9" ht="23.45">
      <c r="A74" s="16"/>
      <c r="B74" s="108" t="s">
        <v>478</v>
      </c>
      <c r="C74" s="108" t="s">
        <v>479</v>
      </c>
      <c r="D74" s="113" t="s">
        <v>479</v>
      </c>
      <c r="E74" s="111"/>
      <c r="F74" s="106"/>
      <c r="G74" s="106"/>
      <c r="H74" s="106"/>
      <c r="I74" s="106"/>
    </row>
    <row r="75" spans="1:9">
      <c r="A75" s="111"/>
      <c r="B75" s="111"/>
      <c r="C75" s="111"/>
      <c r="D75" s="111"/>
      <c r="E75" s="111"/>
      <c r="F75" s="106"/>
      <c r="G75" s="106"/>
      <c r="H75" s="106"/>
      <c r="I75" s="106"/>
    </row>
    <row r="76" spans="1:9" ht="23.45">
      <c r="A76" s="16"/>
      <c r="B76" s="104" t="s">
        <v>435</v>
      </c>
      <c r="C76" s="104" t="s">
        <v>535</v>
      </c>
      <c r="D76" s="104" t="s">
        <v>536</v>
      </c>
      <c r="E76" s="111"/>
      <c r="F76" s="106"/>
      <c r="G76" s="106"/>
      <c r="H76" s="106"/>
      <c r="I76" s="106"/>
    </row>
    <row r="77" spans="1:9" ht="23.45">
      <c r="A77" s="16"/>
      <c r="B77" s="108" t="s">
        <v>435</v>
      </c>
      <c r="C77" s="108">
        <v>30</v>
      </c>
      <c r="D77" s="113" t="s">
        <v>479</v>
      </c>
      <c r="E77" s="111"/>
      <c r="F77" s="106"/>
      <c r="G77" s="106"/>
      <c r="H77" s="106"/>
      <c r="I77" s="106"/>
    </row>
    <row r="78" spans="1:9" ht="23.45">
      <c r="A78" s="16"/>
      <c r="B78" s="108" t="s">
        <v>478</v>
      </c>
      <c r="C78" s="108" t="s">
        <v>479</v>
      </c>
      <c r="D78" s="113" t="s">
        <v>479</v>
      </c>
      <c r="E78" s="111"/>
      <c r="F78" s="106"/>
      <c r="G78" s="106"/>
      <c r="H78" s="106"/>
      <c r="I78" s="106"/>
    </row>
    <row r="79" spans="1:9" ht="23.45">
      <c r="A79" s="16"/>
      <c r="B79" s="106"/>
      <c r="C79" s="106"/>
      <c r="D79" s="106"/>
      <c r="E79" s="111"/>
      <c r="F79" s="106"/>
      <c r="G79" s="106"/>
      <c r="H79" s="106"/>
      <c r="I79" s="106"/>
    </row>
    <row r="80" spans="1:9" ht="23.45">
      <c r="A80" s="16"/>
      <c r="B80" s="106"/>
      <c r="C80" s="106"/>
      <c r="D80" s="106"/>
      <c r="E80" s="106"/>
      <c r="F80" s="106"/>
      <c r="G80" s="106"/>
      <c r="H80" s="106"/>
      <c r="I80" s="106"/>
    </row>
    <row r="81" spans="1:42" ht="23.45">
      <c r="A81" s="16"/>
      <c r="B81" s="106"/>
      <c r="C81" s="106"/>
      <c r="D81" s="106"/>
      <c r="E81" s="106"/>
      <c r="F81" s="106"/>
      <c r="G81" s="106"/>
      <c r="H81" s="106"/>
      <c r="I81" s="106"/>
    </row>
    <row r="82" spans="1:42" ht="23.45">
      <c r="A82" s="16"/>
      <c r="B82" s="106"/>
      <c r="C82" s="106"/>
      <c r="D82" s="106"/>
      <c r="E82" s="106"/>
      <c r="F82" s="106"/>
      <c r="G82" s="106"/>
      <c r="H82" s="106"/>
      <c r="I82" s="106"/>
    </row>
    <row r="83" spans="1:42" ht="23.45">
      <c r="A83" s="16"/>
      <c r="B83" s="106" t="s">
        <v>546</v>
      </c>
      <c r="C83" s="106"/>
      <c r="D83" s="106"/>
      <c r="E83" s="106"/>
      <c r="F83" s="106"/>
      <c r="G83" s="106"/>
      <c r="H83" s="106"/>
      <c r="I83" s="106"/>
    </row>
    <row r="84" spans="1:42" ht="23.45">
      <c r="A84" s="16"/>
      <c r="B84" s="106" t="s">
        <v>547</v>
      </c>
      <c r="C84" s="106" t="s">
        <v>548</v>
      </c>
      <c r="D84" s="106"/>
      <c r="E84" s="106"/>
      <c r="F84" s="106"/>
      <c r="G84" s="106"/>
      <c r="H84" s="106"/>
      <c r="I84" s="106"/>
    </row>
    <row r="85" spans="1:42" ht="23.45">
      <c r="A85" s="16"/>
      <c r="B85" s="106" t="s">
        <v>549</v>
      </c>
      <c r="C85" s="106" t="s">
        <v>550</v>
      </c>
      <c r="D85" s="106"/>
      <c r="E85" s="106"/>
      <c r="F85" s="106"/>
      <c r="G85" s="106"/>
      <c r="H85" s="106"/>
      <c r="I85" s="106"/>
    </row>
    <row r="86" spans="1:42" ht="23.45">
      <c r="A86" s="16"/>
      <c r="B86" s="106" t="s">
        <v>551</v>
      </c>
      <c r="C86" s="106" t="s">
        <v>552</v>
      </c>
      <c r="D86" s="106"/>
      <c r="E86" s="106"/>
      <c r="F86" s="106"/>
      <c r="G86" s="106"/>
      <c r="H86" s="106"/>
      <c r="I86" s="106"/>
    </row>
    <row r="87" spans="1:42" ht="23.45">
      <c r="A87" s="16"/>
      <c r="B87" s="106" t="s">
        <v>553</v>
      </c>
      <c r="C87" s="114" t="s">
        <v>554</v>
      </c>
      <c r="D87" s="106"/>
      <c r="E87" s="106"/>
      <c r="F87" s="106"/>
      <c r="G87" s="106"/>
      <c r="H87" s="106"/>
      <c r="I87" s="106"/>
    </row>
    <row r="88" spans="1:42" ht="23.45">
      <c r="A88" s="16"/>
      <c r="B88" s="106" t="s">
        <v>555</v>
      </c>
      <c r="C88" s="115" t="s">
        <v>556</v>
      </c>
      <c r="D88" s="106"/>
      <c r="E88" s="106"/>
      <c r="F88" s="106"/>
      <c r="G88" s="106"/>
      <c r="H88" s="106"/>
      <c r="I88" s="106"/>
    </row>
    <row r="89" spans="1:42" ht="23.45">
      <c r="A89" s="16"/>
      <c r="B89" s="106" t="s">
        <v>557</v>
      </c>
      <c r="C89" s="106" t="s">
        <v>558</v>
      </c>
      <c r="D89" s="106"/>
      <c r="E89" s="106"/>
      <c r="F89" s="106"/>
      <c r="G89" s="106"/>
      <c r="H89" s="106"/>
      <c r="I89" s="106"/>
    </row>
    <row r="90" spans="1:42" ht="23.45">
      <c r="A90" s="16"/>
      <c r="B90" s="106" t="s">
        <v>559</v>
      </c>
      <c r="C90" s="116" t="s">
        <v>560</v>
      </c>
      <c r="D90" s="106"/>
      <c r="E90" s="106"/>
      <c r="F90" s="106"/>
      <c r="G90" s="106"/>
      <c r="H90" s="106"/>
      <c r="I90" s="106"/>
    </row>
    <row r="91" spans="1:42" ht="23.45">
      <c r="A91" s="16"/>
      <c r="B91" s="106" t="s">
        <v>559</v>
      </c>
      <c r="C91" s="117" t="s">
        <v>561</v>
      </c>
      <c r="D91" s="106"/>
      <c r="E91" s="106"/>
      <c r="F91" s="106"/>
      <c r="G91" s="106"/>
      <c r="H91" s="106"/>
      <c r="I91" s="106"/>
    </row>
    <row r="92" spans="1:42" ht="23.45">
      <c r="A92" s="16"/>
      <c r="B92" s="106"/>
      <c r="C92" s="106"/>
      <c r="D92" s="106"/>
      <c r="E92" s="106"/>
      <c r="F92" s="106"/>
      <c r="G92" s="106"/>
      <c r="H92" s="106"/>
      <c r="I92" s="106"/>
    </row>
    <row r="93" spans="1:42" s="5" customFormat="1" ht="23.45">
      <c r="A93" s="16"/>
      <c r="B93" s="106"/>
      <c r="C93" s="106"/>
      <c r="D93" s="106"/>
      <c r="E93" s="106"/>
      <c r="F93" s="106"/>
      <c r="G93" s="106"/>
      <c r="H93" s="106"/>
      <c r="I93" s="106"/>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row>
    <row r="94" spans="1:42" s="5" customFormat="1" ht="23.45">
      <c r="A94" s="16"/>
      <c r="B94" s="106"/>
      <c r="C94" s="106"/>
      <c r="D94" s="106"/>
      <c r="E94" s="106"/>
      <c r="F94" s="106"/>
      <c r="G94" s="106"/>
      <c r="H94" s="106"/>
      <c r="I94" s="106"/>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row>
    <row r="95" spans="1:42" s="5" customFormat="1" ht="23.45">
      <c r="A95" s="16"/>
      <c r="B95" s="106"/>
      <c r="C95" s="106"/>
      <c r="D95" s="106"/>
      <c r="E95" s="106"/>
      <c r="F95" s="106"/>
      <c r="G95" s="106"/>
      <c r="H95" s="106"/>
      <c r="I95" s="106"/>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row>
    <row r="96" spans="1:42" ht="23.45">
      <c r="A96" s="16"/>
      <c r="B96" s="106"/>
      <c r="C96" s="106"/>
      <c r="D96" s="106"/>
      <c r="E96" s="106"/>
      <c r="F96" s="106"/>
      <c r="G96" s="106"/>
      <c r="H96" s="106"/>
      <c r="I96" s="106"/>
    </row>
    <row r="97" spans="1:9" ht="23.45">
      <c r="A97" s="16"/>
      <c r="B97" s="106"/>
      <c r="C97" s="106"/>
      <c r="D97" s="106"/>
      <c r="E97" s="106"/>
      <c r="F97" s="106"/>
      <c r="G97" s="106"/>
      <c r="H97" s="106"/>
      <c r="I97" s="106"/>
    </row>
    <row r="100" spans="1:9">
      <c r="B100" s="118"/>
      <c r="C100" s="118"/>
      <c r="D100" s="118"/>
    </row>
    <row r="101" spans="1:9">
      <c r="B101" s="118"/>
      <c r="C101" s="118"/>
      <c r="D101" s="118"/>
    </row>
    <row r="102" spans="1:9">
      <c r="B102" s="118"/>
      <c r="C102" s="118"/>
      <c r="D102" s="118"/>
    </row>
    <row r="164" spans="2:4">
      <c r="B164" s="118"/>
      <c r="C164" s="118"/>
      <c r="D164" s="118"/>
    </row>
    <row r="165" spans="2:4">
      <c r="B165" s="118"/>
      <c r="C165" s="118"/>
      <c r="D165" s="118"/>
    </row>
  </sheetData>
  <sheetProtection algorithmName="SHA-512" hashValue="5Khv1ZNNJSh8nYMc5dGPr9D90wwxbDmZ197ly6CCtyFwsbdetD8Qlhm/1B0MP6UFh9ZDx8t/1VH9lH3qZpO+IA==" saltValue="sHLKGZahg68XzvsA0KvtZQ==" spinCount="100000" sheet="1" objects="1" scenarios="1"/>
  <mergeCells count="2">
    <mergeCell ref="B2:I2"/>
    <mergeCell ref="G50:H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6463BC55611C469CEDABDE6104E5EF" ma:contentTypeVersion="1" ma:contentTypeDescription="Create a new document." ma:contentTypeScope="" ma:versionID="599a758b4d8c3a9727cb2e42395f621f">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77F5A6-7C34-4C9C-BE5F-11D4848E1740}"/>
</file>

<file path=customXml/itemProps2.xml><?xml version="1.0" encoding="utf-8"?>
<ds:datastoreItem xmlns:ds="http://schemas.openxmlformats.org/officeDocument/2006/customXml" ds:itemID="{E37E6BA6-E69B-48B0-B3A4-3EB97399F4FB}"/>
</file>

<file path=customXml/itemProps3.xml><?xml version="1.0" encoding="utf-8"?>
<ds:datastoreItem xmlns:ds="http://schemas.openxmlformats.org/officeDocument/2006/customXml" ds:itemID="{1490112C-25DA-4248-873F-D926FAD199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Iddio</dc:creator>
  <cp:keywords/>
  <dc:description/>
  <cp:lastModifiedBy>Evie Schwartz -MEA-</cp:lastModifiedBy>
  <cp:revision/>
  <dcterms:created xsi:type="dcterms:W3CDTF">2026-10-14T14:47:19Z</dcterms:created>
  <dcterms:modified xsi:type="dcterms:W3CDTF">2026-10-26T00:52:52Z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0x010100A96463BC55611C469CEDABDE6104E5EF</vt:lpwstr>
  </property>
  <property fmtid="{D5CDD505-2E9C-101B-9397-08002B2CF9AE}" pid="4" name="MSIP_Label_31f81cae-2cc7-434f-b11d-39789e497bf2_Enabled">
    <vt:lpwstr>true</vt:lpwstr>
  </property>
  <property fmtid="{D5CDD505-2E9C-101B-9397-08002B2CF9AE}" pid="5" name="MSIP_Label_31f81cae-2cc7-434f-b11d-39789e497bf2_SetDate">
    <vt:lpwstr>2026-10-15T18:09:17Z</vt:lpwstr>
  </property>
  <property fmtid="{D5CDD505-2E9C-101B-9397-08002B2CF9AE}" pid="6" name="MSIP_Label_31f81cae-2cc7-434f-b11d-39789e497bf2_Method">
    <vt:lpwstr>Standard</vt:lpwstr>
  </property>
  <property fmtid="{D5CDD505-2E9C-101B-9397-08002B2CF9AE}" pid="7" name="MSIP_Label_31f81cae-2cc7-434f-b11d-39789e497bf2_Name">
    <vt:lpwstr>Confidential</vt:lpwstr>
  </property>
  <property fmtid="{D5CDD505-2E9C-101B-9397-08002B2CF9AE}" pid="8" name="MSIP_Label_31f81cae-2cc7-434f-b11d-39789e497bf2_SiteId">
    <vt:lpwstr>dd5e230f-c165-49c4-957f-e203458fffab</vt:lpwstr>
  </property>
  <property fmtid="{D5CDD505-2E9C-101B-9397-08002B2CF9AE}" pid="9" name="MSIP_Label_31f81cae-2cc7-434f-b11d-39789e497bf2_ActionId">
    <vt:lpwstr>3269f9f7-d340-4b39-9169-55213760218b</vt:lpwstr>
  </property>
  <property fmtid="{D5CDD505-2E9C-101B-9397-08002B2CF9AE}" pid="10" name="MSIP_Label_31f81cae-2cc7-434f-b11d-39789e497bf2_ContentBits">
    <vt:lpwstr>0</vt:lpwstr>
  </property>
  <property fmtid="{D5CDD505-2E9C-101B-9397-08002B2CF9AE}" pid="11" name="MSIP_Label_31f81cae-2cc7-434f-b11d-39789e497bf2_Tag">
    <vt:lpwstr>10, 3, 0, 1</vt:lpwstr>
  </property>
</Properties>
</file>