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https://energyshrink.sharepoint.com/sites/Projects/Shared Documents/202405 MEA Task1 C&amp;I TA/EE Calculator/Calculator/"/>
    </mc:Choice>
  </mc:AlternateContent>
  <xr:revisionPtr revIDLastSave="97" documentId="8_{3D9C0C01-BFEC-4475-A3FD-1829EA9AC831}" xr6:coauthVersionLast="47" xr6:coauthVersionMax="47" xr10:uidLastSave="{9B5443F3-2F66-4D75-8798-8287B234888C}"/>
  <bookViews>
    <workbookView xWindow="-120" yWindow="-120" windowWidth="29040" windowHeight="15720" xr2:uid="{00000000-000D-0000-FFFF-FFFF00000000}"/>
  </bookViews>
  <sheets>
    <sheet name="Instructions" sheetId="12" r:id="rId1"/>
    <sheet name="User Inputs" sheetId="11" r:id="rId2"/>
    <sheet name="Calculated Metrics" sheetId="14" r:id="rId3"/>
    <sheet name="Lookups" sheetId="5" state="hidden" r:id="rId4"/>
    <sheet name="MEA Incentives" sheetId="6" state="hidden" r:id="rId5"/>
  </sheets>
  <definedNames>
    <definedName name="Active_ECMs">CHOOSE({1,2,3,4}, 'User Inputs'!$B$11, 'User Inputs'!$D$11, 'User Inputs'!$F$11, 'User Inputs'!$H$11 )</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 i="14" l="1"/>
  <c r="F15" i="14" s="1"/>
  <c r="A30" i="11"/>
  <c r="G35" i="11" s="1"/>
  <c r="A24" i="11"/>
  <c r="E24" i="11" s="1"/>
  <c r="A26" i="11"/>
  <c r="C35" i="11" s="1"/>
  <c r="A28" i="11"/>
  <c r="G28" i="11" s="1"/>
  <c r="H2" i="11" a="1"/>
  <c r="F21" i="14" a="1"/>
  <c r="B26" i="6"/>
  <c r="H44" i="11" a="1"/>
  <c r="D21" i="14" a="1"/>
  <c r="B21" i="14" a="1"/>
  <c r="H11" i="14"/>
  <c r="H7" i="14"/>
  <c r="H15" i="14" s="1"/>
  <c r="D7" i="14"/>
  <c r="D15" i="14" s="1"/>
  <c r="B7" i="14"/>
  <c r="B15" i="14" s="1"/>
  <c r="C30" i="11" l="1"/>
  <c r="G30" i="11"/>
  <c r="E30" i="11"/>
  <c r="E35" i="11"/>
  <c r="G24" i="11"/>
  <c r="A35" i="11"/>
  <c r="E28" i="11"/>
  <c r="C28" i="11"/>
  <c r="C26" i="11"/>
  <c r="E26" i="11"/>
  <c r="G26" i="11"/>
  <c r="C24" i="11"/>
  <c r="H17" i="14"/>
  <c r="D42" i="11" s="1"/>
  <c r="C27" i="6" l="1"/>
  <c r="C26" i="6"/>
  <c r="C25" i="6"/>
  <c r="B27" i="6"/>
  <c r="B25" i="6"/>
  <c r="B42" i="11" l="1"/>
  <c r="H21" i="14" l="1"/>
  <c r="F42" i="11" s="1"/>
  <c r="H23" i="14"/>
  <c r="D3" i="5" l="1"/>
  <c r="F33" i="14" l="1" a="1"/>
  <c r="B33" i="14" a="1"/>
  <c r="D33" i="14" a="1"/>
  <c r="D31" i="14" a="1"/>
  <c r="F31" i="14" a="1"/>
  <c r="B31" i="14" a="1"/>
  <c r="F33" i="14" l="1"/>
  <c r="D33" i="14"/>
  <c r="B33" i="14"/>
  <c r="F31" i="14"/>
  <c r="D31" i="14"/>
  <c r="B31" i="14"/>
  <c r="F21" i="14"/>
  <c r="F23" i="14" s="1"/>
  <c r="D21" i="14"/>
  <c r="D23" i="14" s="1"/>
  <c r="B21" i="14"/>
  <c r="B23" i="14" s="1"/>
  <c r="H44" i="11"/>
  <c r="H2" i="11"/>
  <c r="H31" i="14" l="1"/>
  <c r="D25" i="14"/>
  <c r="C27" i="14" s="1"/>
  <c r="A37" i="14"/>
  <c r="H37" i="14"/>
  <c r="A44" i="11"/>
  <c r="B25" i="14"/>
  <c r="A27" i="14" s="1"/>
  <c r="H33" i="14"/>
  <c r="F25" i="14"/>
  <c r="E27" i="14" s="1"/>
  <c r="H25" i="14" l="1"/>
  <c r="H42"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tc={C0791163-F61A-4D39-B86E-3BF40E077E8D}</author>
    <author>tc={A6E3287D-6965-4CF9-A81B-087617C8E1C7}</author>
    <author>tc={0927CB55-D6CE-4038-9CD0-7F2DF5878C7D}</author>
    <author>tc={17BD6A8E-0296-4068-BAA8-4A7B39660FE2}</author>
    <author>tc={C7253BA2-4772-417E-B289-40D834AB7D72}</author>
    <author>tc={8239EDF1-A84B-41AF-AA9B-5C08B0384A4D}</author>
    <author>tc={114B03A6-E419-4C1C-BFC6-AEC82E93E751}</author>
    <author>tc={8D7F52AD-E80E-4315-8533-8F62A2668BD7}</author>
    <author>tc={FE618C97-1D3F-4926-B1F4-6E9288DA6EE7}</author>
    <author>tc={5421086C-27AA-4DC3-AB58-AC0B40AE991C}</author>
  </authors>
  <commentList>
    <comment ref="B4" authorId="0" shapeId="0" xr:uid="{C0791163-F61A-4D39-B86E-3BF40E077E8D}">
      <text>
        <t>[Threaded comment]
Your version of Excel allows you to read this threaded comment; however, any edits to it will get removed if the file is opened in a newer version of Excel. Learn more: https://go.microsoft.com/fwlink/?linkid=870924
Comment:
    No more than 100% of total project costs</t>
      </text>
    </comment>
    <comment ref="C4" authorId="1" shapeId="0" xr:uid="{A6E3287D-6965-4CF9-A81B-087617C8E1C7}">
      <text>
        <t>[Threaded comment]
Your version of Excel allows you to read this threaded comment; however, any edits to it will get removed if the file is opened in a newer version of Excel. Learn more: https://go.microsoft.com/fwlink/?linkid=870924
Comment:
    No more than 85% of total project costs</t>
      </text>
    </comment>
    <comment ref="B11" authorId="2" shapeId="0" xr:uid="{0927CB55-D6CE-4038-9CD0-7F2DF5878C7D}">
      <text>
        <t>[Threaded comment]
Your version of Excel allows you to read this threaded comment; however, any edits to it will get removed if the file is opened in a newer version of Excel. Learn more: https://go.microsoft.com/fwlink/?linkid=870924
Comment:
    No more than 100% of total project costs</t>
      </text>
    </comment>
    <comment ref="C11" authorId="3" shapeId="0" xr:uid="{17BD6A8E-0296-4068-BAA8-4A7B39660FE2}">
      <text>
        <t>[Threaded comment]
Your version of Excel allows you to read this threaded comment; however, any edits to it will get removed if the file is opened in a newer version of Excel. Learn more: https://go.microsoft.com/fwlink/?linkid=870924
Comment:
    No more than 100% of total project costs</t>
      </text>
    </comment>
    <comment ref="D11" authorId="4" shapeId="0" xr:uid="{C7253BA2-4772-417E-B289-40D834AB7D72}">
      <text>
        <t>[Threaded comment]
Your version of Excel allows you to read this threaded comment; however, any edits to it will get removed if the file is opened in a newer version of Excel. Learn more: https://go.microsoft.com/fwlink/?linkid=870924
Comment:
    No more than 100% of total project costs</t>
      </text>
    </comment>
    <comment ref="B18" authorId="5" shapeId="0" xr:uid="{8239EDF1-A84B-41AF-AA9B-5C08B0384A4D}">
      <text>
        <t>[Threaded comment]
Your version of Excel allows you to read this threaded comment; however, any edits to it will get removed if the file is opened in a newer version of Excel. Learn more: https://go.microsoft.com/fwlink/?linkid=870924
Comment:
    No more than 100% of total project costs</t>
      </text>
    </comment>
    <comment ref="C18" authorId="6" shapeId="0" xr:uid="{114B03A6-E419-4C1C-BFC6-AEC82E93E751}">
      <text>
        <t>[Threaded comment]
Your version of Excel allows you to read this threaded comment; however, any edits to it will get removed if the file is opened in a newer version of Excel. Learn more: https://go.microsoft.com/fwlink/?linkid=870924
Comment:
    No more than 100% of total project costs</t>
      </text>
    </comment>
    <comment ref="D18" authorId="7" shapeId="0" xr:uid="{8D7F52AD-E80E-4315-8533-8F62A2668BD7}">
      <text>
        <t>[Threaded comment]
Your version of Excel allows you to read this threaded comment; however, any edits to it will get removed if the file is opened in a newer version of Excel. Learn more: https://go.microsoft.com/fwlink/?linkid=870924
Comment:
    No more than 100% of total project costs</t>
      </text>
    </comment>
    <comment ref="B25" authorId="8" shapeId="0" xr:uid="{FE618C97-1D3F-4926-B1F4-6E9288DA6EE7}">
      <text>
        <t>[Threaded comment]
Your version of Excel allows you to read this threaded comment; however, any edits to it will get removed if the file is opened in a newer version of Excel. Learn more: https://go.microsoft.com/fwlink/?linkid=870924
Comment:
    No more than 100% of total project costs</t>
      </text>
    </comment>
    <comment ref="C25" authorId="9" shapeId="0" xr:uid="{5421086C-27AA-4DC3-AB58-AC0B40AE991C}">
      <text>
        <t>[Threaded comment]
Your version of Excel allows you to read this threaded comment; however, any edits to it will get removed if the file is opened in a newer version of Excel. Learn more: https://go.microsoft.com/fwlink/?linkid=870924
Comment:
    No more than 85% of total project costs</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<sst xmlns="http://schemas.openxmlformats.org/spreadsheetml/2006/main" count="212" uniqueCount="147">
  <si>
    <t>Project Name</t>
  </si>
  <si>
    <t>Electricity Consumption (kWh/year)</t>
  </si>
  <si>
    <t>Natural Gas Consumption (therms/year)</t>
  </si>
  <si>
    <t>Fuel Oil #2 Consumption (gallons/year)</t>
  </si>
  <si>
    <t>Annual Cost Savings ($/year)</t>
  </si>
  <si>
    <t>Electricity</t>
  </si>
  <si>
    <t>Unit</t>
  </si>
  <si>
    <t>kWh</t>
  </si>
  <si>
    <t>Natural Gas</t>
  </si>
  <si>
    <t>therm</t>
  </si>
  <si>
    <t>gallon</t>
  </si>
  <si>
    <t>Fuel Oil #2 (heating oil)</t>
  </si>
  <si>
    <t>Fuel</t>
  </si>
  <si>
    <t>Cost ($/unit)</t>
  </si>
  <si>
    <t>Natural Gas  (therms/year)</t>
  </si>
  <si>
    <t>Fuel Oil #2  (gallons/year)</t>
  </si>
  <si>
    <t>COST ASSUMPTIONS</t>
  </si>
  <si>
    <t>EMISSIONS FACTORS</t>
  </si>
  <si>
    <t>Utility Rebates/Other Grant Amount ($)</t>
  </si>
  <si>
    <t>Steam</t>
  </si>
  <si>
    <t>mmBTU</t>
  </si>
  <si>
    <t>Emissions Factor 
(MT CO2e/unit)</t>
  </si>
  <si>
    <t>Commercial cost</t>
  </si>
  <si>
    <t>https://www.eia.gov/state/data.php?sid=MD</t>
  </si>
  <si>
    <t>City Gate cost</t>
  </si>
  <si>
    <t>Simple Payback Period (years)</t>
  </si>
  <si>
    <t>https://www.epa.gov/energy/greenhouse-gas-equivalencies-calculator-calculations-and-references</t>
  </si>
  <si>
    <t>SOURCE</t>
  </si>
  <si>
    <t>https://portfoliomanager.energystar.gov/pdf/reference/Emissions.pdf#:~:text=Emissions%20are%20calculated%20by%20multiplying%20the%20site,a%20single%20carbon%20dioxide%20equivalent%20(CO2e)%20number.</t>
  </si>
  <si>
    <t>EnergyStar Portfolio Manager</t>
  </si>
  <si>
    <t>Building Type</t>
  </si>
  <si>
    <t>https://www.eia.gov/dnav/pet/hist/LeafHandler.ashx?n=PET&amp;s=W_EPD2F_PWR_SMD_DPG&amp;f=W</t>
  </si>
  <si>
    <t>Using MEA emissions factor; source PJM? PJM shows 755.48 lbs/MWh</t>
  </si>
  <si>
    <t>https://corporate.pseg.com/aboutpseg/companyinformation/thepsegfamilyofcompanies/-/media/78023DC5748742028073697ADEDFF2C7.ashx</t>
  </si>
  <si>
    <t>Propane Consumption (gallons/year)</t>
  </si>
  <si>
    <t>Propane (gallons/year)</t>
  </si>
  <si>
    <t>Electricity (kWh/year)</t>
  </si>
  <si>
    <t>Propane</t>
  </si>
  <si>
    <t>Grantee/Organization Name</t>
  </si>
  <si>
    <t>Project County</t>
  </si>
  <si>
    <t>Number of ECMs</t>
  </si>
  <si>
    <t>Description</t>
  </si>
  <si>
    <t>Payback after Utility Incentives (years)</t>
  </si>
  <si>
    <t>Building Square Footage</t>
  </si>
  <si>
    <t>Total ECM Projects Cost ($)</t>
  </si>
  <si>
    <t>Benchmarking ID (Unique Building ID UBID)</t>
  </si>
  <si>
    <t>Commercial Buildings</t>
  </si>
  <si>
    <t>Electrification</t>
  </si>
  <si>
    <t>Energy Efficiency</t>
  </si>
  <si>
    <t>Solar</t>
  </si>
  <si>
    <t>$/Lifetime MTCO2e Reduced</t>
  </si>
  <si>
    <t>Minimum Grant Amount</t>
  </si>
  <si>
    <t>Maximum Grant Amount</t>
  </si>
  <si>
    <t>LEAs</t>
  </si>
  <si>
    <t>Local Governments</t>
  </si>
  <si>
    <t>Electrification - Total Projects Cost</t>
  </si>
  <si>
    <t>Energy Efficiency - Total Projects Cost</t>
  </si>
  <si>
    <t>Solar - Total Projects Cost</t>
  </si>
  <si>
    <t>Electrification - $/Lifetime MTCO2e Reduced</t>
  </si>
  <si>
    <t>Energy Efficiency - $/Lifetime MTCO2e Reduced</t>
  </si>
  <si>
    <t>Solar - $/Lifetime MTCO2e Reduced</t>
  </si>
  <si>
    <t>Solar &amp; Storage</t>
  </si>
  <si>
    <t>Air Sealing/Insulation</t>
  </si>
  <si>
    <t>LED Lighting</t>
  </si>
  <si>
    <t>Refrigeration Equipment</t>
  </si>
  <si>
    <t>Mechanical Insulation</t>
  </si>
  <si>
    <t>Building Automation Systems/Controls</t>
  </si>
  <si>
    <t>Retrocommissioning</t>
  </si>
  <si>
    <t>ECM Type</t>
  </si>
  <si>
    <t>Expected Useful Life (Years)</t>
  </si>
  <si>
    <t>Project Category</t>
  </si>
  <si>
    <t>Non-Profit</t>
  </si>
  <si>
    <t>[Select an ECM from the dropdown list]</t>
  </si>
  <si>
    <t>USER INPUTS</t>
  </si>
  <si>
    <t>PROJECT INFORMATION</t>
  </si>
  <si>
    <t>BASELINE ENERGY CONSUMPTION</t>
  </si>
  <si>
    <t>Enter current annual energy consumption for each applicable fuel type in the highlighted cells. Only enter data for fuel types relevant to the facility.</t>
  </si>
  <si>
    <t>PROJECTED ENERGY SAVINGS</t>
  </si>
  <si>
    <t>Enter expected annual energy savings per selected ECM after project completion in the highlighted cells. Only enter data for fuel types relevant to the facility.</t>
  </si>
  <si>
    <t>PROJECTED COSTS AND REBATES</t>
  </si>
  <si>
    <t>Enter project costs for each selected ECM, along with any applicable utility rebates and grant funding, in the corresponding highlighted cells.</t>
  </si>
  <si>
    <t>Section</t>
  </si>
  <si>
    <t xml:space="preserve">
1. Project Information</t>
  </si>
  <si>
    <t xml:space="preserve">
Enter basic project details, including applicant information, building characteristics, and applicable Energy Conservation Measures (ECMs). Select the number of ECMs to display the corresponding ECM input fields</t>
  </si>
  <si>
    <t xml:space="preserve">
2. Baseline Energy Consumption</t>
  </si>
  <si>
    <t xml:space="preserve">
Enter the building’s annual baseline energy consumption for electricity, natural gas, propane, and Fuel Oil No. 2, as applicable</t>
  </si>
  <si>
    <t xml:space="preserve">
3. Projected Energy Savings</t>
  </si>
  <si>
    <t xml:space="preserve">
4. Projected Costs and Rebates</t>
  </si>
  <si>
    <t xml:space="preserve">
Enter applicable utility rebates, grant funding, and project costs for each selected ECM</t>
  </si>
  <si>
    <t xml:space="preserve">
5. Incentives Overview</t>
  </si>
  <si>
    <t xml:space="preserve">
Provides an at-a-glance summary of total grant funding, project costs, and projected savings, eliminating the need to switch between tabs</t>
  </si>
  <si>
    <t xml:space="preserve">
1. Projected Energy Consumption</t>
  </si>
  <si>
    <t xml:space="preserve">
Displays the projected post-project energy consumption based on the baseline consumption and subsequent projected ECM savings</t>
  </si>
  <si>
    <t xml:space="preserve">
Displays total project costs based on the ECM costs entered</t>
  </si>
  <si>
    <t xml:space="preserve">
3. Projected Savings</t>
  </si>
  <si>
    <t xml:space="preserve">
Displays the projected annual energy and utility cost savings associated with the proposed ECMs</t>
  </si>
  <si>
    <t xml:space="preserve">
3. Funding Impact</t>
  </si>
  <si>
    <t xml:space="preserve">
Displays applicable incentive rates, total incentives, and project payback periods based on the selected building category, projected energy savings, and entered project costs</t>
  </si>
  <si>
    <t xml:space="preserve">
4. Carbon Impact</t>
  </si>
  <si>
    <t xml:space="preserve">
Displays the estimated annual greenhouse gas (GHG) emissions reductions associated with the projected energy savings using emissions factors from the “Lookups” tab</t>
  </si>
  <si>
    <t xml:space="preserve">
Displays the solar PV project cost per installed kW and compares the value against the MEA rate cap of $3,000/kW</t>
  </si>
  <si>
    <t>PROJECTED ENERGY CONSUMPTION</t>
  </si>
  <si>
    <t>PROJECTED SAVINGS</t>
  </si>
  <si>
    <t>FUNDING IMPACT</t>
  </si>
  <si>
    <t>CARBON IMPACT</t>
  </si>
  <si>
    <t>Proposed Solar PV System Size (kW)</t>
  </si>
  <si>
    <r>
      <t>Annual GHG Emissions Reduction from Electrification Projects (MTCO</t>
    </r>
    <r>
      <rPr>
        <vertAlign val="subscript"/>
        <sz val="14"/>
        <color theme="1" tint="0.14999847407452621"/>
        <rFont val="Aptos"/>
        <family val="2"/>
      </rPr>
      <t>2</t>
    </r>
    <r>
      <rPr>
        <sz val="14"/>
        <color theme="1" tint="0.14999847407452621"/>
        <rFont val="Aptos"/>
        <family val="2"/>
      </rPr>
      <t>e)</t>
    </r>
  </si>
  <si>
    <r>
      <t>Annual GHG Emissions Reduction from Energy Efficiency Projects (MTCO</t>
    </r>
    <r>
      <rPr>
        <vertAlign val="subscript"/>
        <sz val="14"/>
        <color theme="1" tint="0.14999847407452621"/>
        <rFont val="Aptos"/>
        <family val="2"/>
      </rPr>
      <t>2</t>
    </r>
    <r>
      <rPr>
        <sz val="14"/>
        <color theme="1" tint="0.14999847407452621"/>
        <rFont val="Aptos"/>
        <family val="2"/>
      </rPr>
      <t>e)</t>
    </r>
  </si>
  <si>
    <r>
      <t>Annual GHG Emissions Reduction from Solar Projects (MTCO</t>
    </r>
    <r>
      <rPr>
        <vertAlign val="subscript"/>
        <sz val="14"/>
        <color theme="1" tint="0.14999847407452621"/>
        <rFont val="Aptos"/>
        <family val="2"/>
      </rPr>
      <t>2</t>
    </r>
    <r>
      <rPr>
        <sz val="14"/>
        <color theme="1" tint="0.14999847407452621"/>
        <rFont val="Aptos"/>
        <family val="2"/>
      </rPr>
      <t>e)</t>
    </r>
  </si>
  <si>
    <r>
      <t>Total Annual GHG Emissions Reduction (MTCO</t>
    </r>
    <r>
      <rPr>
        <vertAlign val="subscript"/>
        <sz val="18"/>
        <color theme="1" tint="0.14999847407452621"/>
        <rFont val="Aptos"/>
        <family val="2"/>
      </rPr>
      <t>2</t>
    </r>
    <r>
      <rPr>
        <sz val="18"/>
        <color theme="1" tint="0.14999847407452621"/>
        <rFont val="Aptos"/>
        <family val="2"/>
      </rPr>
      <t>e)</t>
    </r>
  </si>
  <si>
    <r>
      <t>Lifetime GHG Emissions Reduction from Electrification Projects (MTCO</t>
    </r>
    <r>
      <rPr>
        <vertAlign val="subscript"/>
        <sz val="14"/>
        <color theme="1" tint="0.14999847407452621"/>
        <rFont val="Aptos"/>
        <family val="2"/>
      </rPr>
      <t>2</t>
    </r>
    <r>
      <rPr>
        <sz val="14"/>
        <color theme="1" tint="0.14999847407452621"/>
        <rFont val="Aptos"/>
        <family val="2"/>
      </rPr>
      <t>e)</t>
    </r>
  </si>
  <si>
    <r>
      <t>Lifetime GHG Emissions Reduction from Energy Efficiency Projects (MTCO</t>
    </r>
    <r>
      <rPr>
        <vertAlign val="subscript"/>
        <sz val="14"/>
        <color theme="1" tint="0.14999847407452621"/>
        <rFont val="Aptos"/>
        <family val="2"/>
      </rPr>
      <t>2</t>
    </r>
    <r>
      <rPr>
        <sz val="14"/>
        <color theme="1" tint="0.14999847407452621"/>
        <rFont val="Aptos"/>
        <family val="2"/>
      </rPr>
      <t>e)</t>
    </r>
  </si>
  <si>
    <r>
      <t>Lifetime GHG Emissions Reduction from Solar Projects (MTCO</t>
    </r>
    <r>
      <rPr>
        <vertAlign val="subscript"/>
        <sz val="14"/>
        <color theme="1" tint="0.14999847407452621"/>
        <rFont val="Aptos"/>
        <family val="2"/>
      </rPr>
      <t>2</t>
    </r>
    <r>
      <rPr>
        <sz val="14"/>
        <color theme="1" tint="0.14999847407452621"/>
        <rFont val="Aptos"/>
        <family val="2"/>
      </rPr>
      <t>e)</t>
    </r>
  </si>
  <si>
    <r>
      <t>Total Lifetime GHG Emissions Reduction (MTCO</t>
    </r>
    <r>
      <rPr>
        <vertAlign val="subscript"/>
        <sz val="18"/>
        <color theme="1" tint="0.14999847407452621"/>
        <rFont val="Aptos"/>
        <family val="2"/>
      </rPr>
      <t>2</t>
    </r>
    <r>
      <rPr>
        <sz val="18"/>
        <color theme="1" tint="0.14999847407452621"/>
        <rFont val="Aptos"/>
        <family val="2"/>
      </rPr>
      <t>e)</t>
    </r>
  </si>
  <si>
    <t>Enter project-level information in the highlighted cells.</t>
  </si>
  <si>
    <t>PROJECTED COSTS</t>
  </si>
  <si>
    <t xml:space="preserve">
2. Projected Costs</t>
  </si>
  <si>
    <t>Solar PV System Cost per kW</t>
  </si>
  <si>
    <t>SOLAR PV SYSTEM COST</t>
  </si>
  <si>
    <t xml:space="preserve">
5. Solar PV System Cost</t>
  </si>
  <si>
    <t>KEY METRICS</t>
  </si>
  <si>
    <t>CALCULATED METRICS</t>
  </si>
  <si>
    <t>This section summarizes the total grant funding, project cost, and savings calculated on the next tab.</t>
  </si>
  <si>
    <t>USER INSTRUCTIONS</t>
  </si>
  <si>
    <t>Total MEA Grant Request</t>
  </si>
  <si>
    <t>Total Project Cost % Cap</t>
  </si>
  <si>
    <t>This calculator is for FY27 Commercial &amp; Community Buildings Grant Program applications. This calculator can be used to quantify the energy savings, cost savings, grant amounts, GHG emissions, and GHG reduction investment for proposed projects. 
This calculator is designed to be used with Microsoft Excel. The calculator has two tabs: 'User Inputs' and 'Calculated Metrics'. Guidance on their use is provided below.</t>
  </si>
  <si>
    <t xml:space="preserve">
Enter the estimated annual energy savings for each selected ECM, including electricity, natural gas, propane, and Fuel Oil No. 2 savings, as applicable</t>
  </si>
  <si>
    <t>Electricity Savings</t>
  </si>
  <si>
    <t xml:space="preserve"> kWh/year</t>
  </si>
  <si>
    <t>Natural Gas Savings</t>
  </si>
  <si>
    <t>therms/year</t>
  </si>
  <si>
    <t>Propane Savings</t>
  </si>
  <si>
    <t>gallons/year</t>
  </si>
  <si>
    <t>Fuel Oil Savings</t>
  </si>
  <si>
    <r>
      <t xml:space="preserve">Commercial Appliances </t>
    </r>
    <r>
      <rPr>
        <sz val="10"/>
        <color rgb="FF000000"/>
        <rFont val="Roboto"/>
        <charset val="1"/>
      </rPr>
      <t>—</t>
    </r>
    <r>
      <rPr>
        <sz val="10"/>
        <color rgb="FF000000"/>
        <rFont val="Arial"/>
        <family val="2"/>
        <scheme val="minor"/>
      </rPr>
      <t xml:space="preserve"> Fuel Switching</t>
    </r>
  </si>
  <si>
    <r>
      <t xml:space="preserve">HVAC &amp; Heat Pump </t>
    </r>
    <r>
      <rPr>
        <sz val="10"/>
        <color rgb="FF000000"/>
        <rFont val="Roboto"/>
        <charset val="1"/>
      </rPr>
      <t>—</t>
    </r>
    <r>
      <rPr>
        <sz val="10"/>
        <color rgb="FF000000"/>
        <rFont val="Arial"/>
        <family val="2"/>
        <scheme val="minor"/>
      </rPr>
      <t xml:space="preserve"> Fuel Switching</t>
    </r>
  </si>
  <si>
    <r>
      <t xml:space="preserve">HVAC &amp; Heat Pump </t>
    </r>
    <r>
      <rPr>
        <sz val="10"/>
        <color rgb="FF000000"/>
        <rFont val="Roboto"/>
        <charset val="1"/>
      </rPr>
      <t>—</t>
    </r>
    <r>
      <rPr>
        <sz val="10"/>
        <color rgb="FF000000"/>
        <rFont val="Arial"/>
        <family val="2"/>
        <scheme val="minor"/>
      </rPr>
      <t xml:space="preserve"> Efficiency Upgrade</t>
    </r>
  </si>
  <si>
    <r>
      <t xml:space="preserve">Commercial Appliances </t>
    </r>
    <r>
      <rPr>
        <sz val="10"/>
        <color rgb="FF000000"/>
        <rFont val="Roboto"/>
        <charset val="1"/>
      </rPr>
      <t>—</t>
    </r>
    <r>
      <rPr>
        <sz val="10"/>
        <color rgb="FF000000"/>
        <rFont val="Arial"/>
        <family val="2"/>
        <scheme val="minor"/>
      </rPr>
      <t xml:space="preserve"> Efficiency Upgrade</t>
    </r>
  </si>
  <si>
    <t>ECM 1.</t>
  </si>
  <si>
    <t>ECM 2.</t>
  </si>
  <si>
    <t>ECM 3.</t>
  </si>
  <si>
    <t>ECM 4.</t>
  </si>
  <si>
    <t>Calculated Incentives for Electrification</t>
  </si>
  <si>
    <t>Calculated Incentives for Energy Efficiency</t>
  </si>
  <si>
    <t>Calculated Incentives for Solar</t>
  </si>
  <si>
    <t>MEA Incentive Rates ($/MTCO2e Reduced)
(Placeholder Values)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</si>
</sst>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44" formatCode="_(&quot;$&quot;* #,##0.00_);_(&quot;$&quot;* \(#,##0.00\);_(&quot;$&quot;* &quot;-&quot;??_);_(@_)"/>
    <numFmt numFmtId="43" formatCode="_(* #,##0.00_);_(* \(#,##0.00\);_(* &quot;-&quot;??_);_(@_)"/>
    <numFmt numFmtId="164" formatCode="_(* #,##0_);_(* \(#,##0\);_(* &quot;-&quot;??_);_(@_)"/>
    <numFmt numFmtId="165" formatCode="_(&quot;$&quot;* #,##0_);_(&quot;$&quot;* \(#,##0\);_(&quot;$&quot;* &quot;-&quot;??_);_(@_)"/>
  </numFmts>
  <fonts count="44" x14ac:knownFonts="1">
    <font>
      <sz val="10"/>
      <color rgb="FF000000"/>
      <name val="Arial"/>
      <scheme val="minor"/>
    </font>
    <font>
      <sz val="11"/>
      <color theme="1"/>
      <name val="Arial"/>
      <family val="2"/>
      <scheme val="minor"/>
    </font>
    <font>
      <sz val="10"/>
      <color rgb="FF000000"/>
      <name val="Arial"/>
      <family val="2"/>
      <scheme val="minor"/>
    </font>
    <font>
      <u/>
      <sz val="10"/>
      <color theme="10"/>
      <name val="Arial"/>
      <family val="2"/>
      <scheme val="minor"/>
    </font>
    <font>
      <sz val="10"/>
      <color rgb="FF000000"/>
      <name val="Arial"/>
      <family val="2"/>
      <scheme val="minor"/>
    </font>
    <font>
      <b/>
      <sz val="10"/>
      <color rgb="FF000000"/>
      <name val="Arial"/>
      <family val="2"/>
      <scheme val="minor"/>
    </font>
    <font>
      <u/>
      <sz val="11"/>
      <color theme="10"/>
      <name val="Arial"/>
      <family val="2"/>
      <scheme val="minor"/>
    </font>
    <font>
      <sz val="8"/>
      <name val="Arial"/>
      <family val="2"/>
      <scheme val="minor"/>
    </font>
    <font>
      <sz val="10"/>
      <color rgb="FF000000"/>
      <name val="Aptos"/>
      <family val="2"/>
    </font>
    <font>
      <b/>
      <sz val="14"/>
      <color rgb="FF000000"/>
      <name val="Aptos"/>
      <family val="2"/>
    </font>
    <font>
      <b/>
      <sz val="18"/>
      <color rgb="FF000000"/>
      <name val="Aptos"/>
      <family val="2"/>
    </font>
    <font>
      <sz val="14"/>
      <color rgb="FF000000"/>
      <name val="Aptos"/>
      <family val="2"/>
    </font>
    <font>
      <sz val="14"/>
      <name val="Aptos"/>
      <family val="2"/>
    </font>
    <font>
      <sz val="60"/>
      <color rgb="FF000000"/>
      <name val="Aptos"/>
      <family val="2"/>
    </font>
    <font>
      <sz val="18"/>
      <color rgb="FF0070C0"/>
      <name val="Aptos"/>
      <family val="2"/>
    </font>
    <font>
      <sz val="18"/>
      <color rgb="FF000000"/>
      <name val="Aptos"/>
      <family val="2"/>
    </font>
    <font>
      <sz val="18"/>
      <name val="Aptos"/>
      <family val="2"/>
    </font>
    <font>
      <b/>
      <sz val="20"/>
      <color rgb="FF000000"/>
      <name val="Aptos"/>
      <family val="2"/>
    </font>
    <font>
      <b/>
      <i/>
      <sz val="16"/>
      <color rgb="FF000000"/>
      <name val="Aptos"/>
      <family val="2"/>
    </font>
    <font>
      <b/>
      <sz val="26"/>
      <color theme="1" tint="0.14999847407452621"/>
      <name val="Aptos"/>
      <family val="2"/>
    </font>
    <font>
      <sz val="20"/>
      <color theme="1" tint="0.14999847407452621"/>
      <name val="Aptos"/>
      <family val="2"/>
    </font>
    <font>
      <b/>
      <sz val="18"/>
      <color theme="1" tint="0.14999847407452621"/>
      <name val="Aptos"/>
      <family val="2"/>
    </font>
    <font>
      <i/>
      <sz val="14"/>
      <color theme="1" tint="0.14999847407452621"/>
      <name val="Aptos"/>
      <family val="2"/>
    </font>
    <font>
      <b/>
      <i/>
      <sz val="16"/>
      <color theme="1" tint="0.14999847407452621"/>
      <name val="Aptos"/>
      <family val="2"/>
    </font>
    <font>
      <sz val="18"/>
      <color rgb="FFC00000"/>
      <name val="Aptos"/>
      <family val="2"/>
    </font>
    <font>
      <sz val="14"/>
      <color theme="1" tint="0.14999847407452621"/>
      <name val="Aptos"/>
      <family val="2"/>
    </font>
    <font>
      <sz val="18"/>
      <color theme="1" tint="0.14999847407452621"/>
      <name val="Aptos"/>
      <family val="2"/>
    </font>
    <font>
      <vertAlign val="subscript"/>
      <sz val="14"/>
      <color theme="1" tint="0.14999847407452621"/>
      <name val="Aptos"/>
      <family val="2"/>
    </font>
    <font>
      <vertAlign val="subscript"/>
      <sz val="18"/>
      <color theme="1" tint="0.14999847407452621"/>
      <name val="Aptos"/>
      <family val="2"/>
    </font>
    <font>
      <sz val="18"/>
      <color rgb="FF00B0F0"/>
      <name val="Aptos"/>
      <family val="2"/>
    </font>
    <font>
      <sz val="18"/>
      <color rgb="FF004064"/>
      <name val="Aptos"/>
      <family val="2"/>
    </font>
    <font>
      <sz val="10"/>
      <color rgb="FF2D8F49"/>
      <name val="Aptos"/>
      <family val="2"/>
    </font>
    <font>
      <sz val="18"/>
      <color rgb="FFF0F9FA"/>
      <name val="Aptos"/>
      <family val="2"/>
    </font>
    <font>
      <sz val="10"/>
      <color theme="9" tint="0.39997558519241921"/>
      <name val="Aptos"/>
      <family val="2"/>
    </font>
    <font>
      <i/>
      <sz val="16"/>
      <color theme="1" tint="0.249977111117893"/>
      <name val="Aptos"/>
      <family val="2"/>
    </font>
    <font>
      <sz val="16"/>
      <color theme="1" tint="0.14999847407452621"/>
      <name val="Aptos"/>
      <family val="2"/>
    </font>
    <font>
      <b/>
      <sz val="16"/>
      <color theme="1" tint="0.14999847407452621"/>
      <name val="Aptos"/>
      <family val="2"/>
    </font>
    <font>
      <sz val="18"/>
      <color rgb="FF000000"/>
      <name val="Arial"/>
      <family val="2"/>
      <scheme val="minor"/>
    </font>
    <font>
      <sz val="10"/>
      <color rgb="FF000000"/>
      <name val="Roboto"/>
      <charset val="1"/>
    </font>
    <font>
      <b/>
      <sz val="20"/>
      <color theme="1" tint="0.14999847407452621"/>
      <name val="Aptos"/>
      <family val="2"/>
    </font>
    <font>
      <sz val="18"/>
      <color theme="0"/>
      <name val="Aptos"/>
      <family val="2"/>
    </font>
    <font>
      <sz val="18"/>
      <color theme="9" tint="-0.249977111117893"/>
      <name val="Aptos"/>
      <family val="2"/>
    </font>
    <font>
      <b/>
      <sz val="10"/>
      <color rgb="FF000000"/>
      <name val="Aptos"/>
      <family val="2"/>
    </font>
    <font>
      <b/>
      <sz val="12"/>
      <color rgb="FF000000"/>
      <name val="Aptos"/>
      <family val="2"/>
    </font>
  </fonts>
  <fills count="20">
    <fill>
      <patternFill patternType="none"/>
    </fill>
    <fill>
      <patternFill patternType="gray125"/>
    </fill>
    <fill>
      <patternFill patternType="solid">
        <fgColor theme="6" tint="0.79998168889431442"/>
        <bgColor indexed="64"/>
      </patternFill>
    </fill>
    <fill>
      <patternFill patternType="solid">
        <fgColor theme="0" tint="-0.14999847407452621"/>
        <bgColor indexed="64"/>
      </patternFill>
    </fill>
    <fill>
      <patternFill patternType="solid">
        <fgColor theme="2" tint="-4.9989318521683403E-2"/>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FFFF"/>
        <bgColor indexed="64"/>
      </patternFill>
    </fill>
    <fill>
      <patternFill patternType="solid">
        <fgColor rgb="FFFFFF00"/>
        <bgColor indexed="64"/>
      </patternFill>
    </fill>
    <fill>
      <patternFill patternType="solid">
        <fgColor theme="2" tint="-0.14999847407452621"/>
        <bgColor indexed="64"/>
      </patternFill>
    </fill>
    <fill>
      <patternFill patternType="solid">
        <fgColor rgb="FF004064"/>
        <bgColor indexed="64"/>
      </patternFill>
    </fill>
    <fill>
      <patternFill patternType="solid">
        <fgColor rgb="FFF0F9FA"/>
        <bgColor indexed="64"/>
      </patternFill>
    </fill>
    <fill>
      <patternFill patternType="solid">
        <fgColor rgb="FFF2F4F7"/>
        <bgColor indexed="64"/>
      </patternFill>
    </fill>
    <fill>
      <patternFill patternType="solid">
        <fgColor rgb="FFEDF8F9"/>
        <bgColor indexed="64"/>
      </patternFill>
    </fill>
    <fill>
      <patternFill patternType="solid">
        <fgColor rgb="FFF2F2F2"/>
        <bgColor indexed="64"/>
      </patternFill>
    </fill>
    <fill>
      <patternFill patternType="solid">
        <fgColor theme="9" tint="-0.499984740745262"/>
        <bgColor indexed="64"/>
      </patternFill>
    </fill>
  </fills>
  <borders count="72">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24994659260841701"/>
      </left>
      <right style="thin">
        <color theme="0" tint="-0.24994659260841701"/>
      </right>
      <top style="thin">
        <color theme="0" tint="-0.499984740745262"/>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499984740745262"/>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bottom/>
      <diagonal/>
    </border>
    <border>
      <left/>
      <right/>
      <top style="thin">
        <color theme="0" tint="-0.24994659260841701"/>
      </top>
      <bottom/>
      <diagonal/>
    </border>
    <border>
      <left style="thin">
        <color theme="0" tint="-0.24994659260841701"/>
      </left>
      <right/>
      <top/>
      <bottom/>
      <diagonal/>
    </border>
    <border>
      <left/>
      <right style="thin">
        <color theme="0" tint="-0.34998626667073579"/>
      </right>
      <top/>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right/>
      <top/>
      <bottom style="thin">
        <color theme="0" tint="-0.249977111117893"/>
      </bottom>
      <diagonal/>
    </border>
    <border>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right/>
      <top style="thin">
        <color theme="0" tint="-0.34998626667073579"/>
      </top>
      <bottom style="thin">
        <color theme="0" tint="-0.24994659260841701"/>
      </bottom>
      <diagonal/>
    </border>
    <border>
      <left/>
      <right/>
      <top/>
      <bottom style="thin">
        <color theme="0" tint="-0.24994659260841701"/>
      </bottom>
      <diagonal/>
    </border>
    <border>
      <left style="thin">
        <color theme="0" tint="-0.24994659260841701"/>
      </left>
      <right/>
      <top style="thin">
        <color theme="0" tint="-0.249977111117893"/>
      </top>
      <bottom style="thin">
        <color theme="0" tint="-0.24994659260841701"/>
      </bottom>
      <diagonal/>
    </border>
    <border>
      <left/>
      <right style="thin">
        <color theme="0" tint="-0.24994659260841701"/>
      </right>
      <top style="thin">
        <color theme="0" tint="-0.249977111117893"/>
      </top>
      <bottom style="thin">
        <color theme="0" tint="-0.24994659260841701"/>
      </bottom>
      <diagonal/>
    </border>
    <border>
      <left/>
      <right/>
      <top style="thin">
        <color theme="0" tint="-0.249977111117893"/>
      </top>
      <bottom style="thin">
        <color theme="0" tint="-0.24994659260841701"/>
      </bottom>
      <diagonal/>
    </border>
    <border>
      <left/>
      <right/>
      <top style="thin">
        <color theme="0" tint="-0.24994659260841701"/>
      </top>
      <bottom style="thin">
        <color theme="0" tint="-0.249977111117893"/>
      </bottom>
      <diagonal/>
    </border>
    <border>
      <left/>
      <right style="thin">
        <color theme="0" tint="-0.34998626667073579"/>
      </right>
      <top style="thin">
        <color theme="0" tint="-0.34998626667073579"/>
      </top>
      <bottom style="thin">
        <color theme="0" tint="-0.24994659260841701"/>
      </bottom>
      <diagonal/>
    </border>
    <border>
      <left/>
      <right/>
      <top/>
      <bottom style="thin">
        <color rgb="FF004064"/>
      </bottom>
      <diagonal/>
    </border>
    <border>
      <left style="thin">
        <color theme="0" tint="-0.34998626667073579"/>
      </left>
      <right/>
      <top/>
      <bottom/>
      <diagonal/>
    </border>
    <border>
      <left style="thin">
        <color theme="0" tint="-0.34998626667073579"/>
      </left>
      <right/>
      <top style="thin">
        <color theme="0" tint="-0.34998626667073579"/>
      </top>
      <bottom style="thin">
        <color theme="0" tint="-0.24994659260841701"/>
      </bottom>
      <diagonal/>
    </border>
    <border>
      <left style="thin">
        <color theme="0" tint="-0.34998626667073579"/>
      </left>
      <right/>
      <top style="thin">
        <color theme="0" tint="-0.24994659260841701"/>
      </top>
      <bottom style="thin">
        <color theme="0" tint="-0.24994659260841701"/>
      </bottom>
      <diagonal/>
    </border>
    <border>
      <left style="thin">
        <color theme="0" tint="-0.34998626667073579"/>
      </left>
      <right/>
      <top style="thin">
        <color theme="0" tint="-0.24994659260841701"/>
      </top>
      <bottom style="thin">
        <color theme="0" tint="-0.34998626667073579"/>
      </bottom>
      <diagonal/>
    </border>
    <border>
      <left style="thin">
        <color theme="0" tint="-0.34998626667073579"/>
      </left>
      <right/>
      <top style="thin">
        <color theme="0" tint="-0.34998626667073579"/>
      </top>
      <bottom style="thin">
        <color theme="0" tint="-0.249977111117893"/>
      </bottom>
      <diagonal/>
    </border>
    <border>
      <left/>
      <right/>
      <top style="thin">
        <color theme="0" tint="-0.34998626667073579"/>
      </top>
      <bottom style="thin">
        <color theme="0" tint="-0.249977111117893"/>
      </bottom>
      <diagonal/>
    </border>
    <border>
      <left/>
      <right style="thin">
        <color theme="0" tint="-0.34998626667073579"/>
      </right>
      <top style="thin">
        <color theme="0" tint="-0.34998626667073579"/>
      </top>
      <bottom style="thin">
        <color theme="0" tint="-0.249977111117893"/>
      </bottom>
      <diagonal/>
    </border>
    <border>
      <left style="thin">
        <color theme="0" tint="-0.34998626667073579"/>
      </left>
      <right/>
      <top style="thin">
        <color theme="0" tint="-0.24994659260841701"/>
      </top>
      <bottom/>
      <diagonal/>
    </border>
    <border>
      <left style="thin">
        <color theme="0" tint="-0.24994659260841701"/>
      </left>
      <right/>
      <top style="thin">
        <color theme="0" tint="-0.24994659260841701"/>
      </top>
      <bottom style="thin">
        <color theme="0" tint="-0.34998626667073579"/>
      </bottom>
      <diagonal/>
    </border>
    <border>
      <left/>
      <right style="thin">
        <color theme="0" tint="-0.24994659260841701"/>
      </right>
      <top style="thin">
        <color theme="0" tint="-0.24994659260841701"/>
      </top>
      <bottom style="thin">
        <color theme="0" tint="-0.34998626667073579"/>
      </bottom>
      <diagonal/>
    </border>
    <border>
      <left/>
      <right style="thin">
        <color theme="0" tint="-0.34998626667073579"/>
      </right>
      <top style="thin">
        <color theme="0" tint="-0.24994659260841701"/>
      </top>
      <bottom style="thin">
        <color theme="0" tint="-0.34998626667073579"/>
      </bottom>
      <diagonal/>
    </border>
    <border>
      <left/>
      <right style="thin">
        <color theme="0" tint="-0.249977111117893"/>
      </right>
      <top/>
      <bottom style="thin">
        <color theme="0" tint="-0.34998626667073579"/>
      </bottom>
      <diagonal/>
    </border>
    <border>
      <left/>
      <right style="thin">
        <color theme="0" tint="-0.34998626667073579"/>
      </right>
      <top style="thin">
        <color theme="0" tint="-0.24994659260841701"/>
      </top>
      <bottom style="thin">
        <color theme="0" tint="-0.249977111117893"/>
      </bottom>
      <diagonal/>
    </border>
    <border>
      <left style="thin">
        <color theme="0" tint="-0.34998626667073579"/>
      </left>
      <right/>
      <top style="thin">
        <color theme="0" tint="-0.249977111117893"/>
      </top>
      <bottom style="thin">
        <color theme="0" tint="-0.24994659260841701"/>
      </bottom>
      <diagonal/>
    </border>
    <border>
      <left/>
      <right style="thin">
        <color theme="0" tint="-0.34998626667073579"/>
      </right>
      <top style="thin">
        <color theme="0" tint="-0.249977111117893"/>
      </top>
      <bottom style="thin">
        <color theme="0" tint="-0.24994659260841701"/>
      </bottom>
      <diagonal/>
    </border>
    <border>
      <left style="thin">
        <color theme="0" tint="-0.34998626667073579"/>
      </left>
      <right/>
      <top style="thin">
        <color theme="0" tint="-0.24994659260841701"/>
      </top>
      <bottom style="thin">
        <color theme="0" tint="-0.249977111117893"/>
      </bottom>
      <diagonal/>
    </border>
    <border>
      <left/>
      <right/>
      <top style="thin">
        <color theme="0" tint="-0.24994659260841701"/>
      </top>
      <bottom style="thin">
        <color theme="0" tint="-0.34998626667073579"/>
      </bottom>
      <diagonal/>
    </border>
    <border>
      <left/>
      <right style="thin">
        <color theme="0" tint="-0.34998626667073579"/>
      </right>
      <top style="thin">
        <color theme="0" tint="-0.24994659260841701"/>
      </top>
      <bottom/>
      <diagonal/>
    </border>
    <border>
      <left/>
      <right style="thin">
        <color theme="0" tint="-0.34998626667073579"/>
      </right>
      <top/>
      <bottom style="thin">
        <color theme="0" tint="-0.24994659260841701"/>
      </bottom>
      <diagonal/>
    </border>
    <border>
      <left style="thin">
        <color theme="0" tint="-0.34998626667073579"/>
      </left>
      <right/>
      <top/>
      <bottom style="thin">
        <color theme="0" tint="-0.24994659260841701"/>
      </bottom>
      <diagonal/>
    </border>
    <border>
      <left style="thin">
        <color theme="0" tint="-0.34998626667073579"/>
      </left>
      <right/>
      <top/>
      <bottom style="thin">
        <color theme="0" tint="-0.249977111117893"/>
      </bottom>
      <diagonal/>
    </border>
    <border>
      <left/>
      <right style="thin">
        <color theme="0" tint="-0.34998626667073579"/>
      </right>
      <top/>
      <bottom style="thin">
        <color theme="0" tint="-0.249977111117893"/>
      </bottom>
      <diagonal/>
    </border>
    <border>
      <left/>
      <right style="thin">
        <color theme="0" tint="-0.24994659260841701"/>
      </right>
      <top/>
      <bottom style="thin">
        <color theme="0" tint="-0.34998626667073579"/>
      </bottom>
      <diagonal/>
    </border>
    <border>
      <left/>
      <right style="thin">
        <color theme="0" tint="-0.24994659260841701"/>
      </right>
      <top/>
      <bottom style="thin">
        <color theme="0" tint="-0.24994659260841701"/>
      </bottom>
      <diagonal/>
    </border>
    <border>
      <left style="thin">
        <color theme="0" tint="-0.34998626667073579"/>
      </left>
      <right/>
      <top style="thin">
        <color theme="0" tint="-0.34998626667073579"/>
      </top>
      <bottom style="thin">
        <color theme="0" tint="-0.14999847407452621"/>
      </bottom>
      <diagonal/>
    </border>
    <border>
      <left/>
      <right style="thin">
        <color theme="0" tint="-0.34998626667073579"/>
      </right>
      <top style="thin">
        <color theme="0" tint="-0.34998626667073579"/>
      </top>
      <bottom style="thin">
        <color theme="0" tint="-0.14999847407452621"/>
      </bottom>
      <diagonal/>
    </border>
    <border>
      <left style="thin">
        <color theme="0" tint="-0.34998626667073579"/>
      </left>
      <right/>
      <top style="thin">
        <color theme="0" tint="-0.14999847407452621"/>
      </top>
      <bottom style="thin">
        <color theme="0" tint="-0.14999847407452621"/>
      </bottom>
      <diagonal/>
    </border>
    <border>
      <left/>
      <right style="thin">
        <color theme="0" tint="-0.34998626667073579"/>
      </right>
      <top style="thin">
        <color theme="0" tint="-0.14999847407452621"/>
      </top>
      <bottom style="thin">
        <color theme="0" tint="-0.14999847407452621"/>
      </bottom>
      <diagonal/>
    </border>
    <border>
      <left style="thin">
        <color theme="0" tint="-0.34998626667073579"/>
      </left>
      <right/>
      <top style="thin">
        <color theme="0" tint="-0.14999847407452621"/>
      </top>
      <bottom style="thin">
        <color theme="0" tint="-0.34998626667073579"/>
      </bottom>
      <diagonal/>
    </border>
    <border>
      <left/>
      <right style="thin">
        <color theme="0" tint="-0.34998626667073579"/>
      </right>
      <top style="thin">
        <color theme="0" tint="-0.14999847407452621"/>
      </top>
      <bottom style="thin">
        <color theme="0" tint="-0.34998626667073579"/>
      </bottom>
      <diagonal/>
    </border>
    <border>
      <left style="thin">
        <color theme="0" tint="-0.24994659260841701"/>
      </left>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top style="thin">
        <color theme="0" tint="-0.24994659260841701"/>
      </top>
      <bottom/>
      <diagonal/>
    </border>
    <border>
      <left style="thin">
        <color theme="0" tint="-0.34998626667073579"/>
      </left>
      <right/>
      <top style="thin">
        <color theme="0" tint="-0.249977111117893"/>
      </top>
      <bottom/>
      <diagonal/>
    </border>
    <border>
      <left/>
      <right/>
      <top style="thin">
        <color theme="0" tint="-0.249977111117893"/>
      </top>
      <bottom/>
      <diagonal/>
    </border>
    <border>
      <left/>
      <right style="thin">
        <color theme="0" tint="-0.34998626667073579"/>
      </right>
      <top style="thin">
        <color theme="0" tint="-0.249977111117893"/>
      </top>
      <bottom/>
      <diagonal/>
    </border>
    <border>
      <left/>
      <right style="thin">
        <color theme="0" tint="-0.24994659260841701"/>
      </right>
      <top style="thin">
        <color theme="0" tint="-0.24994659260841701"/>
      </top>
      <bottom/>
      <diagonal/>
    </border>
    <border>
      <left style="thin">
        <color theme="0" tint="-0.34998626667073579"/>
      </left>
      <right/>
      <top style="thin">
        <color theme="0" tint="-0.249977111117893"/>
      </top>
      <bottom style="thin">
        <color theme="0" tint="-0.34998626667073579"/>
      </bottom>
      <diagonal/>
    </border>
    <border>
      <left/>
      <right/>
      <top style="thin">
        <color theme="0" tint="-0.249977111117893"/>
      </top>
      <bottom style="thin">
        <color theme="0" tint="-0.34998626667073579"/>
      </bottom>
      <diagonal/>
    </border>
    <border>
      <left/>
      <right style="thin">
        <color theme="0" tint="-0.249977111117893"/>
      </right>
      <top style="thin">
        <color theme="0" tint="-0.249977111117893"/>
      </top>
      <bottom style="thin">
        <color theme="0" tint="-0.34998626667073579"/>
      </bottom>
      <diagonal/>
    </border>
    <border>
      <left/>
      <right style="thin">
        <color theme="0" tint="-0.249977111117893"/>
      </right>
      <top style="thin">
        <color theme="0" tint="-0.24994659260841701"/>
      </top>
      <bottom style="thin">
        <color theme="0" tint="-0.24994659260841701"/>
      </bottom>
      <diagonal/>
    </border>
  </borders>
  <cellStyleXfs count="6">
    <xf numFmtId="0" fontId="0" fillId="0" borderId="0"/>
    <xf numFmtId="0" fontId="3" fillId="0" borderId="0" applyNumberForma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1" fillId="0" borderId="0"/>
    <xf numFmtId="0" fontId="6" fillId="0" borderId="0" applyNumberFormat="0" applyFill="0" applyBorder="0" applyAlignment="0" applyProtection="0"/>
  </cellStyleXfs>
  <cellXfs count="256">
    <xf numFmtId="0" fontId="0" fillId="0" borderId="0" xfId="0"/>
    <xf numFmtId="0" fontId="2" fillId="0" borderId="0" xfId="0" applyFont="1"/>
    <xf numFmtId="0" fontId="0" fillId="0" borderId="0" xfId="0" applyAlignment="1">
      <alignment vertical="top" wrapText="1"/>
    </xf>
    <xf numFmtId="0" fontId="2" fillId="0" borderId="0" xfId="0" applyFont="1" applyAlignment="1">
      <alignment vertical="top" wrapText="1"/>
    </xf>
    <xf numFmtId="0" fontId="2" fillId="0" borderId="1" xfId="0" applyFont="1" applyBorder="1" applyAlignment="1">
      <alignment vertical="top" wrapText="1"/>
    </xf>
    <xf numFmtId="0" fontId="0" fillId="0" borderId="1" xfId="0" applyBorder="1" applyAlignment="1">
      <alignment vertical="top" wrapText="1"/>
    </xf>
    <xf numFmtId="0" fontId="3" fillId="0" borderId="0" xfId="1"/>
    <xf numFmtId="0" fontId="3" fillId="0" borderId="0" xfId="1" applyAlignment="1">
      <alignment vertical="center"/>
    </xf>
    <xf numFmtId="0" fontId="5" fillId="0" borderId="0" xfId="0" applyFont="1"/>
    <xf numFmtId="0" fontId="5" fillId="4" borderId="1" xfId="0" applyFont="1" applyFill="1" applyBorder="1" applyAlignment="1">
      <alignment vertical="top" wrapText="1"/>
    </xf>
    <xf numFmtId="17" fontId="0" fillId="0" borderId="0" xfId="0" applyNumberFormat="1"/>
    <xf numFmtId="44" fontId="0" fillId="6" borderId="1" xfId="3" applyFont="1" applyFill="1" applyBorder="1" applyAlignment="1">
      <alignment vertical="top" wrapText="1"/>
    </xf>
    <xf numFmtId="0" fontId="0" fillId="6" borderId="1" xfId="0" applyFill="1" applyBorder="1" applyAlignment="1">
      <alignment vertical="top" wrapText="1"/>
    </xf>
    <xf numFmtId="0" fontId="8" fillId="0" borderId="0" xfId="0" applyFont="1"/>
    <xf numFmtId="0" fontId="8" fillId="0" borderId="0" xfId="0" applyFont="1" applyAlignment="1">
      <alignment horizontal="center" vertical="center"/>
    </xf>
    <xf numFmtId="0" fontId="8" fillId="11" borderId="0" xfId="0" applyFont="1" applyFill="1"/>
    <xf numFmtId="0" fontId="20" fillId="10" borderId="15" xfId="0" applyFont="1" applyFill="1" applyBorder="1" applyAlignment="1">
      <alignment horizontal="centerContinuous"/>
    </xf>
    <xf numFmtId="0" fontId="21" fillId="10" borderId="16" xfId="0" applyFont="1" applyFill="1" applyBorder="1" applyAlignment="1">
      <alignment horizontal="centerContinuous"/>
    </xf>
    <xf numFmtId="0" fontId="10" fillId="10" borderId="17" xfId="0" applyFont="1" applyFill="1" applyBorder="1" applyAlignment="1">
      <alignment horizontal="centerContinuous"/>
    </xf>
    <xf numFmtId="0" fontId="18" fillId="10" borderId="20" xfId="0" applyFont="1" applyFill="1" applyBorder="1" applyAlignment="1">
      <alignment horizontal="centerContinuous" vertical="center"/>
    </xf>
    <xf numFmtId="0" fontId="11" fillId="15" borderId="21" xfId="0" applyFont="1" applyFill="1" applyBorder="1" applyAlignment="1">
      <alignment horizontal="left" vertical="center" wrapText="1" indent="1"/>
    </xf>
    <xf numFmtId="0" fontId="14" fillId="15" borderId="21" xfId="0" applyFont="1" applyFill="1" applyBorder="1" applyAlignment="1">
      <alignment horizontal="left" vertical="center" wrapText="1" indent="1"/>
    </xf>
    <xf numFmtId="1" fontId="14" fillId="15" borderId="21" xfId="2" applyNumberFormat="1" applyFont="1" applyFill="1" applyBorder="1" applyAlignment="1">
      <alignment horizontal="left" vertical="center" wrapText="1" indent="1"/>
    </xf>
    <xf numFmtId="43" fontId="14" fillId="15" borderId="21" xfId="2" applyFont="1" applyFill="1" applyBorder="1" applyAlignment="1">
      <alignment horizontal="left" vertical="center" wrapText="1" indent="1"/>
    </xf>
    <xf numFmtId="44" fontId="16" fillId="15" borderId="21" xfId="3" applyFont="1" applyFill="1" applyBorder="1" applyAlignment="1">
      <alignment horizontal="left" vertical="center" wrapText="1" indent="1"/>
    </xf>
    <xf numFmtId="0" fontId="15" fillId="15" borderId="21" xfId="0" applyFont="1" applyFill="1" applyBorder="1" applyAlignment="1">
      <alignment horizontal="left" vertical="center" wrapText="1" indent="1"/>
    </xf>
    <xf numFmtId="0" fontId="16" fillId="15" borderId="21" xfId="0" applyFont="1" applyFill="1" applyBorder="1" applyAlignment="1">
      <alignment horizontal="left" vertical="center" wrapText="1" indent="1"/>
    </xf>
    <xf numFmtId="1" fontId="16" fillId="15" borderId="21" xfId="0" applyNumberFormat="1" applyFont="1" applyFill="1" applyBorder="1" applyAlignment="1">
      <alignment horizontal="left" vertical="center" wrapText="1" indent="1"/>
    </xf>
    <xf numFmtId="0" fontId="8" fillId="14" borderId="0" xfId="0" applyFont="1" applyFill="1"/>
    <xf numFmtId="0" fontId="25" fillId="15" borderId="21" xfId="0" applyFont="1" applyFill="1" applyBorder="1" applyAlignment="1">
      <alignment vertical="center" wrapText="1"/>
    </xf>
    <xf numFmtId="43" fontId="25" fillId="15" borderId="21" xfId="2" applyFont="1" applyFill="1" applyBorder="1" applyAlignment="1">
      <alignment vertical="center" wrapText="1"/>
    </xf>
    <xf numFmtId="43" fontId="25" fillId="15" borderId="0" xfId="2" applyFont="1" applyFill="1" applyBorder="1" applyAlignment="1">
      <alignment vertical="center" wrapText="1"/>
    </xf>
    <xf numFmtId="44" fontId="25" fillId="15" borderId="21" xfId="0" applyNumberFormat="1" applyFont="1" applyFill="1" applyBorder="1" applyAlignment="1">
      <alignment vertical="center" wrapText="1"/>
    </xf>
    <xf numFmtId="0" fontId="25" fillId="16" borderId="8" xfId="0" applyFont="1" applyFill="1" applyBorder="1" applyAlignment="1">
      <alignment horizontal="left" vertical="center" wrapText="1" indent="1"/>
    </xf>
    <xf numFmtId="0" fontId="29" fillId="0" borderId="0" xfId="0" applyFont="1"/>
    <xf numFmtId="165" fontId="30" fillId="16" borderId="9" xfId="3" applyNumberFormat="1" applyFont="1" applyFill="1" applyBorder="1" applyAlignment="1">
      <alignment horizontal="left" vertical="center" wrapText="1" indent="1"/>
    </xf>
    <xf numFmtId="165" fontId="30" fillId="16" borderId="26" xfId="3" applyNumberFormat="1" applyFont="1" applyFill="1" applyBorder="1" applyAlignment="1">
      <alignment horizontal="left" vertical="center" wrapText="1" indent="1"/>
    </xf>
    <xf numFmtId="1" fontId="30" fillId="16" borderId="26" xfId="0" applyNumberFormat="1" applyFont="1" applyFill="1" applyBorder="1" applyAlignment="1">
      <alignment horizontal="right" vertical="center" wrapText="1" indent="1"/>
    </xf>
    <xf numFmtId="0" fontId="8" fillId="15" borderId="0" xfId="0" applyFont="1" applyFill="1"/>
    <xf numFmtId="0" fontId="8" fillId="0" borderId="30" xfId="0" applyFont="1" applyBorder="1"/>
    <xf numFmtId="0" fontId="24" fillId="0" borderId="0" xfId="0" applyFont="1"/>
    <xf numFmtId="165" fontId="30" fillId="16" borderId="9" xfId="0" applyNumberFormat="1" applyFont="1" applyFill="1" applyBorder="1" applyAlignment="1">
      <alignment vertical="center" wrapText="1"/>
    </xf>
    <xf numFmtId="0" fontId="30" fillId="11" borderId="0" xfId="0" applyFont="1" applyFill="1"/>
    <xf numFmtId="0" fontId="24" fillId="0" borderId="0" xfId="0" applyFont="1" applyAlignment="1">
      <alignment horizontal="left" vertical="center"/>
    </xf>
    <xf numFmtId="43" fontId="25" fillId="15" borderId="11" xfId="2" applyFont="1" applyFill="1" applyBorder="1" applyAlignment="1">
      <alignment vertical="center" wrapText="1"/>
    </xf>
    <xf numFmtId="43" fontId="25" fillId="15" borderId="14" xfId="2" applyFont="1" applyFill="1" applyBorder="1" applyAlignment="1">
      <alignment vertical="center" wrapText="1"/>
    </xf>
    <xf numFmtId="0" fontId="25" fillId="15" borderId="14" xfId="0" applyFont="1" applyFill="1" applyBorder="1" applyAlignment="1">
      <alignment vertical="center" wrapText="1"/>
    </xf>
    <xf numFmtId="0" fontId="25" fillId="15" borderId="0" xfId="0" applyFont="1" applyFill="1" applyAlignment="1">
      <alignment vertical="center" wrapText="1"/>
    </xf>
    <xf numFmtId="44" fontId="25" fillId="15" borderId="13" xfId="0" applyNumberFormat="1" applyFont="1" applyFill="1" applyBorder="1" applyAlignment="1">
      <alignment vertical="center" wrapText="1"/>
    </xf>
    <xf numFmtId="44" fontId="25" fillId="15" borderId="14" xfId="0" applyNumberFormat="1" applyFont="1" applyFill="1" applyBorder="1" applyAlignment="1">
      <alignment vertical="center" wrapText="1"/>
    </xf>
    <xf numFmtId="44" fontId="25" fillId="15" borderId="16" xfId="0" applyNumberFormat="1" applyFont="1" applyFill="1" applyBorder="1" applyAlignment="1">
      <alignment vertical="center" wrapText="1"/>
    </xf>
    <xf numFmtId="164" fontId="30" fillId="16" borderId="9" xfId="2" applyNumberFormat="1" applyFont="1" applyFill="1" applyBorder="1" applyAlignment="1">
      <alignment vertical="center" wrapText="1"/>
    </xf>
    <xf numFmtId="44" fontId="25" fillId="15" borderId="11" xfId="0" applyNumberFormat="1" applyFont="1" applyFill="1" applyBorder="1" applyAlignment="1">
      <alignment vertical="center" wrapText="1"/>
    </xf>
    <xf numFmtId="44" fontId="25" fillId="15" borderId="0" xfId="0" applyNumberFormat="1" applyFont="1" applyFill="1" applyAlignment="1">
      <alignment vertical="center" wrapText="1"/>
    </xf>
    <xf numFmtId="0" fontId="26" fillId="3" borderId="8" xfId="0" applyFont="1" applyFill="1" applyBorder="1" applyAlignment="1">
      <alignment horizontal="left" vertical="center" wrapText="1" indent="1"/>
    </xf>
    <xf numFmtId="0" fontId="20" fillId="10" borderId="32" xfId="0" applyFont="1" applyFill="1" applyBorder="1" applyAlignment="1">
      <alignment horizontal="centerContinuous"/>
    </xf>
    <xf numFmtId="0" fontId="21" fillId="10" borderId="23" xfId="0" applyFont="1" applyFill="1" applyBorder="1" applyAlignment="1">
      <alignment horizontal="centerContinuous"/>
    </xf>
    <xf numFmtId="0" fontId="10" fillId="10" borderId="29" xfId="0" applyFont="1" applyFill="1" applyBorder="1" applyAlignment="1">
      <alignment horizontal="centerContinuous"/>
    </xf>
    <xf numFmtId="0" fontId="25" fillId="15" borderId="31" xfId="0" applyFont="1" applyFill="1" applyBorder="1" applyAlignment="1">
      <alignment vertical="center" wrapText="1"/>
    </xf>
    <xf numFmtId="0" fontId="25" fillId="16" borderId="33" xfId="0" applyFont="1" applyFill="1" applyBorder="1" applyAlignment="1">
      <alignment horizontal="left" vertical="center" wrapText="1" indent="1"/>
    </xf>
    <xf numFmtId="164" fontId="30" fillId="16" borderId="22" xfId="2" applyNumberFormat="1" applyFont="1" applyFill="1" applyBorder="1" applyAlignment="1">
      <alignment vertical="center" wrapText="1"/>
    </xf>
    <xf numFmtId="0" fontId="25" fillId="15" borderId="18" xfId="0" applyFont="1" applyFill="1" applyBorder="1" applyAlignment="1">
      <alignment vertical="center" wrapText="1"/>
    </xf>
    <xf numFmtId="0" fontId="20" fillId="10" borderId="35" xfId="0" applyFont="1" applyFill="1" applyBorder="1" applyAlignment="1">
      <alignment horizontal="centerContinuous"/>
    </xf>
    <xf numFmtId="0" fontId="21" fillId="10" borderId="36" xfId="0" applyFont="1" applyFill="1" applyBorder="1" applyAlignment="1">
      <alignment horizontal="centerContinuous"/>
    </xf>
    <xf numFmtId="0" fontId="21" fillId="10" borderId="37" xfId="0" applyFont="1" applyFill="1" applyBorder="1" applyAlignment="1">
      <alignment horizontal="centerContinuous"/>
    </xf>
    <xf numFmtId="0" fontId="25" fillId="15" borderId="33" xfId="0" applyFont="1" applyFill="1" applyBorder="1" applyAlignment="1">
      <alignment vertical="center" wrapText="1"/>
    </xf>
    <xf numFmtId="0" fontId="25" fillId="15" borderId="38" xfId="0" applyFont="1" applyFill="1" applyBorder="1" applyAlignment="1">
      <alignment vertical="center" wrapText="1"/>
    </xf>
    <xf numFmtId="0" fontId="25" fillId="15" borderId="24" xfId="0" applyFont="1" applyFill="1" applyBorder="1" applyAlignment="1">
      <alignment vertical="center" wrapText="1"/>
    </xf>
    <xf numFmtId="44" fontId="25" fillId="15" borderId="24" xfId="0" applyNumberFormat="1" applyFont="1" applyFill="1" applyBorder="1" applyAlignment="1">
      <alignment vertical="center" wrapText="1"/>
    </xf>
    <xf numFmtId="0" fontId="21" fillId="10" borderId="29" xfId="0" applyFont="1" applyFill="1" applyBorder="1" applyAlignment="1">
      <alignment horizontal="centerContinuous"/>
    </xf>
    <xf numFmtId="0" fontId="26" fillId="3" borderId="39" xfId="0" applyFont="1" applyFill="1" applyBorder="1" applyAlignment="1">
      <alignment horizontal="left" vertical="center" wrapText="1" indent="1"/>
    </xf>
    <xf numFmtId="44" fontId="25" fillId="15" borderId="22" xfId="0" applyNumberFormat="1" applyFont="1" applyFill="1" applyBorder="1" applyAlignment="1">
      <alignment vertical="center" wrapText="1"/>
    </xf>
    <xf numFmtId="0" fontId="26" fillId="15" borderId="21" xfId="0" applyFont="1" applyFill="1" applyBorder="1" applyAlignment="1">
      <alignment vertical="center" wrapText="1"/>
    </xf>
    <xf numFmtId="164" fontId="30" fillId="16" borderId="40" xfId="2" applyNumberFormat="1" applyFont="1" applyFill="1" applyBorder="1" applyAlignment="1">
      <alignment vertical="center" wrapText="1"/>
    </xf>
    <xf numFmtId="0" fontId="25" fillId="16" borderId="39" xfId="0" applyFont="1" applyFill="1" applyBorder="1" applyAlignment="1">
      <alignment horizontal="left" vertical="center" wrapText="1" indent="1"/>
    </xf>
    <xf numFmtId="164" fontId="30" fillId="3" borderId="22" xfId="2" applyNumberFormat="1" applyFont="1" applyFill="1" applyBorder="1" applyAlignment="1">
      <alignment vertical="center" wrapText="1"/>
    </xf>
    <xf numFmtId="43" fontId="26" fillId="15" borderId="22" xfId="2" applyFont="1" applyFill="1" applyBorder="1" applyAlignment="1">
      <alignment vertical="center" wrapText="1"/>
    </xf>
    <xf numFmtId="0" fontId="25" fillId="16" borderId="34" xfId="0" applyFont="1" applyFill="1" applyBorder="1" applyAlignment="1">
      <alignment horizontal="left" vertical="center" wrapText="1" indent="1"/>
    </xf>
    <xf numFmtId="164" fontId="30" fillId="3" borderId="41" xfId="2" applyNumberFormat="1" applyFont="1" applyFill="1" applyBorder="1" applyAlignment="1">
      <alignment vertical="center" wrapText="1"/>
    </xf>
    <xf numFmtId="165" fontId="30" fillId="3" borderId="41" xfId="3" applyNumberFormat="1" applyFont="1" applyFill="1" applyBorder="1" applyAlignment="1">
      <alignment vertical="center" wrapText="1"/>
    </xf>
    <xf numFmtId="43" fontId="25" fillId="15" borderId="42" xfId="2" applyFont="1" applyFill="1" applyBorder="1" applyAlignment="1">
      <alignment vertical="center" wrapText="1"/>
    </xf>
    <xf numFmtId="0" fontId="26" fillId="3" borderId="14" xfId="0" applyFont="1" applyFill="1" applyBorder="1" applyAlignment="1">
      <alignment horizontal="left" vertical="center" wrapText="1" indent="1"/>
    </xf>
    <xf numFmtId="165" fontId="30" fillId="3" borderId="19" xfId="3" applyNumberFormat="1" applyFont="1" applyFill="1" applyBorder="1" applyAlignment="1">
      <alignment vertical="center" wrapText="1"/>
    </xf>
    <xf numFmtId="0" fontId="25" fillId="15" borderId="28" xfId="0" applyFont="1" applyFill="1" applyBorder="1" applyAlignment="1">
      <alignment vertical="center" wrapText="1"/>
    </xf>
    <xf numFmtId="43" fontId="25" fillId="15" borderId="43" xfId="2" applyFont="1" applyFill="1" applyBorder="1" applyAlignment="1">
      <alignment vertical="center" wrapText="1"/>
    </xf>
    <xf numFmtId="0" fontId="8" fillId="15" borderId="18" xfId="0" applyFont="1" applyFill="1" applyBorder="1"/>
    <xf numFmtId="0" fontId="8" fillId="15" borderId="14" xfId="0" applyFont="1" applyFill="1" applyBorder="1"/>
    <xf numFmtId="165" fontId="30" fillId="16" borderId="40" xfId="0" applyNumberFormat="1" applyFont="1" applyFill="1" applyBorder="1" applyAlignment="1">
      <alignment vertical="center" wrapText="1"/>
    </xf>
    <xf numFmtId="0" fontId="26" fillId="3" borderId="8" xfId="0" applyFont="1" applyFill="1" applyBorder="1" applyAlignment="1">
      <alignment vertical="center" wrapText="1"/>
    </xf>
    <xf numFmtId="165" fontId="30" fillId="3" borderId="19" xfId="3" applyNumberFormat="1" applyFont="1" applyFill="1" applyBorder="1" applyAlignment="1">
      <alignment horizontal="center" vertical="center" wrapText="1"/>
    </xf>
    <xf numFmtId="44" fontId="25" fillId="15" borderId="43" xfId="0" applyNumberFormat="1" applyFont="1" applyFill="1" applyBorder="1" applyAlignment="1">
      <alignment vertical="center" wrapText="1"/>
    </xf>
    <xf numFmtId="0" fontId="25" fillId="15" borderId="46" xfId="0" applyFont="1" applyFill="1" applyBorder="1" applyAlignment="1">
      <alignment vertical="center" wrapText="1"/>
    </xf>
    <xf numFmtId="44" fontId="25" fillId="15" borderId="28" xfId="0" applyNumberFormat="1" applyFont="1" applyFill="1" applyBorder="1" applyAlignment="1">
      <alignment vertical="center" wrapText="1"/>
    </xf>
    <xf numFmtId="0" fontId="8" fillId="14" borderId="15" xfId="0" applyFont="1" applyFill="1" applyBorder="1"/>
    <xf numFmtId="0" fontId="8" fillId="14" borderId="16" xfId="0" applyFont="1" applyFill="1" applyBorder="1"/>
    <xf numFmtId="0" fontId="8" fillId="14" borderId="17" xfId="0" applyFont="1" applyFill="1" applyBorder="1"/>
    <xf numFmtId="0" fontId="13" fillId="8" borderId="31" xfId="0" applyFont="1" applyFill="1" applyBorder="1" applyAlignment="1">
      <alignment wrapText="1"/>
    </xf>
    <xf numFmtId="0" fontId="13" fillId="8" borderId="0" xfId="0" applyFont="1" applyFill="1" applyAlignment="1">
      <alignment wrapText="1"/>
    </xf>
    <xf numFmtId="0" fontId="13" fillId="8" borderId="13" xfId="0" applyFont="1" applyFill="1" applyBorder="1" applyAlignment="1">
      <alignment wrapText="1"/>
    </xf>
    <xf numFmtId="0" fontId="0" fillId="14" borderId="15" xfId="0" applyFill="1" applyBorder="1"/>
    <xf numFmtId="0" fontId="0" fillId="14" borderId="16" xfId="0" applyFill="1" applyBorder="1"/>
    <xf numFmtId="0" fontId="0" fillId="14" borderId="17" xfId="0" applyFill="1" applyBorder="1"/>
    <xf numFmtId="0" fontId="11" fillId="15" borderId="24" xfId="0" applyFont="1" applyFill="1" applyBorder="1" applyAlignment="1">
      <alignment horizontal="left" vertical="center" wrapText="1" indent="1"/>
    </xf>
    <xf numFmtId="0" fontId="11" fillId="15" borderId="33" xfId="0" applyFont="1" applyFill="1" applyBorder="1" applyAlignment="1">
      <alignment horizontal="left" vertical="center" wrapText="1" indent="1"/>
    </xf>
    <xf numFmtId="0" fontId="12" fillId="15" borderId="33" xfId="0" applyFont="1" applyFill="1" applyBorder="1" applyAlignment="1">
      <alignment horizontal="left" vertical="center" wrapText="1" indent="1"/>
    </xf>
    <xf numFmtId="43" fontId="11" fillId="15" borderId="22" xfId="2" applyFont="1" applyFill="1" applyBorder="1" applyAlignment="1">
      <alignment horizontal="left" vertical="center" wrapText="1" indent="1"/>
    </xf>
    <xf numFmtId="0" fontId="11" fillId="15" borderId="11" xfId="0" applyFont="1" applyFill="1" applyBorder="1" applyAlignment="1">
      <alignment horizontal="left" vertical="center" wrapText="1" indent="1"/>
    </xf>
    <xf numFmtId="0" fontId="14" fillId="15" borderId="48" xfId="0" applyFont="1" applyFill="1" applyBorder="1" applyAlignment="1">
      <alignment horizontal="left" vertical="center" wrapText="1" indent="1"/>
    </xf>
    <xf numFmtId="0" fontId="11" fillId="15" borderId="12" xfId="0" applyFont="1" applyFill="1" applyBorder="1" applyAlignment="1">
      <alignment horizontal="left" vertical="center" wrapText="1" indent="1"/>
    </xf>
    <xf numFmtId="0" fontId="11" fillId="15" borderId="14" xfId="0" applyFont="1" applyFill="1" applyBorder="1" applyAlignment="1">
      <alignment horizontal="left" vertical="center" wrapText="1" indent="1"/>
    </xf>
    <xf numFmtId="43" fontId="14" fillId="15" borderId="14" xfId="2" applyFont="1" applyFill="1" applyBorder="1" applyAlignment="1">
      <alignment horizontal="left" vertical="center" wrapText="1" indent="1"/>
    </xf>
    <xf numFmtId="0" fontId="8" fillId="15" borderId="14" xfId="0" applyFont="1" applyFill="1" applyBorder="1" applyAlignment="1">
      <alignment horizontal="left" indent="1"/>
    </xf>
    <xf numFmtId="0" fontId="11" fillId="15" borderId="38" xfId="0" applyFont="1" applyFill="1" applyBorder="1" applyAlignment="1">
      <alignment horizontal="left" vertical="center" wrapText="1" indent="1"/>
    </xf>
    <xf numFmtId="43" fontId="14" fillId="15" borderId="11" xfId="2" applyFont="1" applyFill="1" applyBorder="1" applyAlignment="1">
      <alignment horizontal="left" vertical="center" wrapText="1" indent="1"/>
    </xf>
    <xf numFmtId="0" fontId="22" fillId="10" borderId="50" xfId="0" applyFont="1" applyFill="1" applyBorder="1" applyAlignment="1">
      <alignment horizontal="centerContinuous" vertical="center"/>
    </xf>
    <xf numFmtId="0" fontId="23" fillId="10" borderId="24" xfId="0" applyFont="1" applyFill="1" applyBorder="1" applyAlignment="1">
      <alignment horizontal="centerContinuous" vertical="center"/>
    </xf>
    <xf numFmtId="0" fontId="18" fillId="10" borderId="49" xfId="0" applyFont="1" applyFill="1" applyBorder="1" applyAlignment="1">
      <alignment horizontal="centerContinuous" vertical="center"/>
    </xf>
    <xf numFmtId="0" fontId="12" fillId="15" borderId="38" xfId="0" applyFont="1" applyFill="1" applyBorder="1" applyAlignment="1">
      <alignment horizontal="left" vertical="center" wrapText="1" indent="1"/>
    </xf>
    <xf numFmtId="0" fontId="14" fillId="15" borderId="11" xfId="0" applyFont="1" applyFill="1" applyBorder="1" applyAlignment="1">
      <alignment horizontal="left" vertical="center" wrapText="1" indent="1"/>
    </xf>
    <xf numFmtId="1" fontId="14" fillId="15" borderId="11" xfId="2" applyNumberFormat="1" applyFont="1" applyFill="1" applyBorder="1" applyAlignment="1">
      <alignment horizontal="left" vertical="center" wrapText="1" indent="1"/>
    </xf>
    <xf numFmtId="43" fontId="11" fillId="15" borderId="11" xfId="2" applyFont="1" applyFill="1" applyBorder="1" applyAlignment="1">
      <alignment horizontal="left" vertical="center" wrapText="1" indent="1"/>
    </xf>
    <xf numFmtId="0" fontId="17" fillId="10" borderId="16" xfId="0" applyFont="1" applyFill="1" applyBorder="1" applyAlignment="1">
      <alignment horizontal="centerContinuous" vertical="center"/>
    </xf>
    <xf numFmtId="0" fontId="17" fillId="10" borderId="16" xfId="0" applyFont="1" applyFill="1" applyBorder="1" applyAlignment="1">
      <alignment horizontal="centerContinuous"/>
    </xf>
    <xf numFmtId="0" fontId="17" fillId="10" borderId="17" xfId="0" applyFont="1" applyFill="1" applyBorder="1" applyAlignment="1">
      <alignment horizontal="centerContinuous" vertical="center"/>
    </xf>
    <xf numFmtId="0" fontId="22" fillId="10" borderId="51" xfId="0" applyFont="1" applyFill="1" applyBorder="1" applyAlignment="1">
      <alignment horizontal="centerContinuous" vertical="center"/>
    </xf>
    <xf numFmtId="0" fontId="18" fillId="10" borderId="52" xfId="0" applyFont="1" applyFill="1" applyBorder="1" applyAlignment="1">
      <alignment horizontal="centerContinuous" vertical="center"/>
    </xf>
    <xf numFmtId="0" fontId="12" fillId="15" borderId="44" xfId="0" applyFont="1" applyFill="1" applyBorder="1" applyAlignment="1">
      <alignment horizontal="left" vertical="center" wrapText="1" indent="1"/>
    </xf>
    <xf numFmtId="0" fontId="14" fillId="15" borderId="27" xfId="0" applyFont="1" applyFill="1" applyBorder="1" applyAlignment="1">
      <alignment horizontal="left" vertical="center" wrapText="1" indent="1"/>
    </xf>
    <xf numFmtId="0" fontId="11" fillId="15" borderId="27" xfId="0" applyFont="1" applyFill="1" applyBorder="1" applyAlignment="1">
      <alignment horizontal="left" vertical="center" wrapText="1" indent="1"/>
    </xf>
    <xf numFmtId="1" fontId="14" fillId="15" borderId="27" xfId="2" applyNumberFormat="1" applyFont="1" applyFill="1" applyBorder="1" applyAlignment="1">
      <alignment horizontal="left" vertical="center" wrapText="1" indent="1"/>
    </xf>
    <xf numFmtId="43" fontId="11" fillId="15" borderId="45" xfId="2" applyFont="1" applyFill="1" applyBorder="1" applyAlignment="1">
      <alignment horizontal="left" vertical="center" wrapText="1" indent="1"/>
    </xf>
    <xf numFmtId="0" fontId="12" fillId="15" borderId="31" xfId="0" applyFont="1" applyFill="1" applyBorder="1" applyAlignment="1">
      <alignment horizontal="left" vertical="center" wrapText="1" indent="1"/>
    </xf>
    <xf numFmtId="0" fontId="14" fillId="15" borderId="0" xfId="0" applyFont="1" applyFill="1" applyAlignment="1">
      <alignment horizontal="left" vertical="center" wrapText="1" indent="1"/>
    </xf>
    <xf numFmtId="0" fontId="11" fillId="15" borderId="0" xfId="0" applyFont="1" applyFill="1" applyAlignment="1">
      <alignment horizontal="left" vertical="center" wrapText="1" indent="1"/>
    </xf>
    <xf numFmtId="1" fontId="14" fillId="15" borderId="0" xfId="2" applyNumberFormat="1" applyFont="1" applyFill="1" applyBorder="1" applyAlignment="1">
      <alignment horizontal="left" vertical="center" wrapText="1" indent="1"/>
    </xf>
    <xf numFmtId="43" fontId="11" fillId="15" borderId="0" xfId="2" applyFont="1" applyFill="1" applyBorder="1" applyAlignment="1">
      <alignment horizontal="left" vertical="center" wrapText="1" indent="1"/>
    </xf>
    <xf numFmtId="44" fontId="14" fillId="15" borderId="11" xfId="2" applyNumberFormat="1" applyFont="1" applyFill="1" applyBorder="1" applyAlignment="1">
      <alignment horizontal="left" vertical="center" wrapText="1" indent="1"/>
    </xf>
    <xf numFmtId="44" fontId="14" fillId="15" borderId="22" xfId="2" applyNumberFormat="1" applyFont="1" applyFill="1" applyBorder="1" applyAlignment="1">
      <alignment horizontal="left" vertical="center" wrapText="1" indent="1"/>
    </xf>
    <xf numFmtId="44" fontId="14" fillId="15" borderId="14" xfId="2" applyNumberFormat="1" applyFont="1" applyFill="1" applyBorder="1" applyAlignment="1">
      <alignment horizontal="left" vertical="center" wrapText="1" indent="1"/>
    </xf>
    <xf numFmtId="0" fontId="8" fillId="15" borderId="53" xfId="0" applyFont="1" applyFill="1" applyBorder="1" applyAlignment="1">
      <alignment horizontal="left" indent="1"/>
    </xf>
    <xf numFmtId="0" fontId="15" fillId="15" borderId="33" xfId="0" applyFont="1" applyFill="1" applyBorder="1" applyAlignment="1">
      <alignment horizontal="left" vertical="center" wrapText="1" indent="1"/>
    </xf>
    <xf numFmtId="165" fontId="30" fillId="16" borderId="40" xfId="3" applyNumberFormat="1" applyFont="1" applyFill="1" applyBorder="1" applyAlignment="1">
      <alignment horizontal="left" vertical="center" wrapText="1" indent="1"/>
    </xf>
    <xf numFmtId="43" fontId="14" fillId="15" borderId="9" xfId="2" applyFont="1" applyFill="1" applyBorder="1" applyAlignment="1">
      <alignment horizontal="left" vertical="center" wrapText="1" indent="1"/>
    </xf>
    <xf numFmtId="43" fontId="11" fillId="15" borderId="10" xfId="2" applyFont="1" applyFill="1" applyBorder="1" applyAlignment="1">
      <alignment horizontal="left" vertical="center" wrapText="1" indent="1"/>
    </xf>
    <xf numFmtId="43" fontId="11" fillId="15" borderId="54" xfId="2" applyFont="1" applyFill="1" applyBorder="1" applyAlignment="1">
      <alignment horizontal="left" vertical="center" wrapText="1" indent="1"/>
    </xf>
    <xf numFmtId="0" fontId="0" fillId="8" borderId="31" xfId="0" applyFill="1" applyBorder="1"/>
    <xf numFmtId="0" fontId="9" fillId="8" borderId="13" xfId="0" applyFont="1" applyFill="1" applyBorder="1" applyAlignment="1">
      <alignment vertical="center" wrapText="1"/>
    </xf>
    <xf numFmtId="0" fontId="25" fillId="15" borderId="64" xfId="0" applyFont="1" applyFill="1" applyBorder="1" applyAlignment="1">
      <alignment vertical="center" wrapText="1"/>
    </xf>
    <xf numFmtId="44" fontId="25" fillId="15" borderId="65" xfId="0" applyNumberFormat="1" applyFont="1" applyFill="1" applyBorder="1" applyAlignment="1">
      <alignment vertical="center" wrapText="1"/>
    </xf>
    <xf numFmtId="0" fontId="25" fillId="15" borderId="65" xfId="0" applyFont="1" applyFill="1" applyBorder="1" applyAlignment="1">
      <alignment vertical="center" wrapText="1"/>
    </xf>
    <xf numFmtId="44" fontId="25" fillId="15" borderId="66" xfId="0" applyNumberFormat="1" applyFont="1" applyFill="1" applyBorder="1" applyAlignment="1">
      <alignment vertical="center" wrapText="1"/>
    </xf>
    <xf numFmtId="0" fontId="26" fillId="3" borderId="21" xfId="0" applyFont="1" applyFill="1" applyBorder="1" applyAlignment="1">
      <alignment horizontal="left" vertical="center" wrapText="1" indent="1"/>
    </xf>
    <xf numFmtId="164" fontId="30" fillId="3" borderId="9" xfId="2" applyNumberFormat="1" applyFont="1" applyFill="1" applyBorder="1" applyAlignment="1">
      <alignment vertical="center" wrapText="1"/>
    </xf>
    <xf numFmtId="0" fontId="25" fillId="15" borderId="8" xfId="0" applyFont="1" applyFill="1" applyBorder="1" applyAlignment="1">
      <alignment vertical="center" wrapText="1"/>
    </xf>
    <xf numFmtId="44" fontId="25" fillId="15" borderId="9" xfId="0" applyNumberFormat="1" applyFont="1" applyFill="1" applyBorder="1" applyAlignment="1">
      <alignment vertical="center" wrapText="1"/>
    </xf>
    <xf numFmtId="0" fontId="31" fillId="0" borderId="0" xfId="0" applyFont="1"/>
    <xf numFmtId="0" fontId="25" fillId="15" borderId="63" xfId="0" applyFont="1" applyFill="1" applyBorder="1" applyAlignment="1">
      <alignment vertical="center" wrapText="1"/>
    </xf>
    <xf numFmtId="0" fontId="25" fillId="15" borderId="11" xfId="0" applyFont="1" applyFill="1" applyBorder="1" applyAlignment="1">
      <alignment vertical="center" wrapText="1"/>
    </xf>
    <xf numFmtId="165" fontId="30" fillId="16" borderId="47" xfId="0" applyNumberFormat="1" applyFont="1" applyFill="1" applyBorder="1" applyAlignment="1">
      <alignment vertical="center" wrapText="1"/>
    </xf>
    <xf numFmtId="44" fontId="16" fillId="15" borderId="9" xfId="0" applyNumberFormat="1" applyFont="1" applyFill="1" applyBorder="1" applyAlignment="1">
      <alignment horizontal="left" vertical="center" wrapText="1" indent="1"/>
    </xf>
    <xf numFmtId="0" fontId="32" fillId="15" borderId="21" xfId="0" applyFont="1" applyFill="1" applyBorder="1" applyAlignment="1">
      <alignment horizontal="left" vertical="center" wrapText="1" indent="1"/>
    </xf>
    <xf numFmtId="0" fontId="33" fillId="8" borderId="13" xfId="0" applyFont="1" applyFill="1" applyBorder="1" applyAlignment="1">
      <alignment wrapText="1"/>
    </xf>
    <xf numFmtId="0" fontId="36" fillId="17" borderId="57" xfId="0" applyFont="1" applyFill="1" applyBorder="1" applyAlignment="1">
      <alignment horizontal="left" vertical="center" wrapText="1" indent="1"/>
    </xf>
    <xf numFmtId="0" fontId="37" fillId="0" borderId="0" xfId="0" applyFont="1"/>
    <xf numFmtId="0" fontId="0" fillId="0" borderId="0" xfId="0" applyAlignment="1">
      <alignment vertical="center"/>
    </xf>
    <xf numFmtId="0" fontId="35" fillId="0" borderId="57" xfId="0" applyFont="1" applyBorder="1" applyAlignment="1">
      <alignment horizontal="left" vertical="top" wrapText="1" indent="1"/>
    </xf>
    <xf numFmtId="0" fontId="35" fillId="0" borderId="58" xfId="0" applyFont="1" applyBorder="1" applyAlignment="1">
      <alignment horizontal="left" vertical="top" wrapText="1" indent="1"/>
    </xf>
    <xf numFmtId="0" fontId="35" fillId="0" borderId="59" xfId="0" applyFont="1" applyBorder="1" applyAlignment="1">
      <alignment horizontal="left" vertical="top" wrapText="1" indent="1"/>
    </xf>
    <xf numFmtId="0" fontId="35" fillId="0" borderId="60" xfId="0" applyFont="1" applyBorder="1" applyAlignment="1">
      <alignment horizontal="left" vertical="top" wrapText="1" indent="1"/>
    </xf>
    <xf numFmtId="0" fontId="35" fillId="0" borderId="57" xfId="0" applyFont="1" applyBorder="1" applyAlignment="1">
      <alignment horizontal="left" vertical="center" wrapText="1" indent="1"/>
    </xf>
    <xf numFmtId="0" fontId="36" fillId="17" borderId="58" xfId="0" applyFont="1" applyFill="1" applyBorder="1" applyAlignment="1">
      <alignment horizontal="left" vertical="center" indent="1"/>
    </xf>
    <xf numFmtId="43" fontId="14" fillId="15" borderId="22" xfId="2" applyFont="1" applyFill="1" applyBorder="1" applyAlignment="1">
      <alignment horizontal="left" vertical="center" wrapText="1" indent="1"/>
    </xf>
    <xf numFmtId="0" fontId="26" fillId="16" borderId="25" xfId="0" applyFont="1" applyFill="1" applyBorder="1" applyAlignment="1">
      <alignment horizontal="left" vertical="center" wrapText="1" indent="1"/>
    </xf>
    <xf numFmtId="0" fontId="26" fillId="16" borderId="33" xfId="0" applyFont="1" applyFill="1" applyBorder="1" applyAlignment="1">
      <alignment horizontal="left" vertical="center" wrapText="1" indent="1"/>
    </xf>
    <xf numFmtId="0" fontId="26" fillId="16" borderId="34" xfId="0" applyFont="1" applyFill="1" applyBorder="1" applyAlignment="1">
      <alignment horizontal="left" vertical="center" wrapText="1" indent="1"/>
    </xf>
    <xf numFmtId="0" fontId="25" fillId="0" borderId="33" xfId="0" applyFont="1" applyBorder="1" applyAlignment="1">
      <alignment horizontal="left" vertical="center" wrapText="1" indent="1"/>
    </xf>
    <xf numFmtId="0" fontId="25" fillId="0" borderId="8" xfId="0" applyFont="1" applyBorder="1" applyAlignment="1">
      <alignment horizontal="left" vertical="center" wrapText="1" indent="1"/>
    </xf>
    <xf numFmtId="0" fontId="25" fillId="0" borderId="21" xfId="0" applyFont="1" applyBorder="1" applyAlignment="1">
      <alignment horizontal="left" vertical="center" wrapText="1" indent="1"/>
    </xf>
    <xf numFmtId="0" fontId="25" fillId="0" borderId="39" xfId="0" applyFont="1" applyBorder="1" applyAlignment="1">
      <alignment horizontal="left" vertical="center" wrapText="1" indent="1"/>
    </xf>
    <xf numFmtId="0" fontId="25" fillId="0" borderId="34" xfId="0" applyFont="1" applyBorder="1" applyAlignment="1">
      <alignment horizontal="left" vertical="center" wrapText="1" indent="1"/>
    </xf>
    <xf numFmtId="0" fontId="39" fillId="10" borderId="16" xfId="0" applyFont="1" applyFill="1" applyBorder="1" applyAlignment="1">
      <alignment horizontal="centerContinuous" vertical="center"/>
    </xf>
    <xf numFmtId="0" fontId="39" fillId="10" borderId="17" xfId="0" applyFont="1" applyFill="1" applyBorder="1" applyAlignment="1">
      <alignment horizontal="centerContinuous" vertical="center"/>
    </xf>
    <xf numFmtId="0" fontId="23" fillId="10" borderId="49" xfId="0" applyFont="1" applyFill="1" applyBorder="1" applyAlignment="1">
      <alignment horizontal="centerContinuous" vertical="center"/>
    </xf>
    <xf numFmtId="0" fontId="25" fillId="15" borderId="33" xfId="0" applyFont="1" applyFill="1" applyBorder="1" applyAlignment="1">
      <alignment horizontal="left" vertical="center" wrapText="1" indent="1"/>
    </xf>
    <xf numFmtId="0" fontId="25" fillId="15" borderId="71" xfId="0" applyFont="1" applyFill="1" applyBorder="1" applyAlignment="1">
      <alignment horizontal="right" vertical="center" wrapText="1" indent="1"/>
    </xf>
    <xf numFmtId="0" fontId="25" fillId="15" borderId="21" xfId="0" applyFont="1" applyFill="1" applyBorder="1" applyAlignment="1">
      <alignment horizontal="left" vertical="center" wrapText="1" indent="1"/>
    </xf>
    <xf numFmtId="0" fontId="25" fillId="0" borderId="31" xfId="0" applyFont="1" applyBorder="1" applyAlignment="1">
      <alignment horizontal="left" vertical="center" wrapText="1" indent="1"/>
    </xf>
    <xf numFmtId="0" fontId="40" fillId="19" borderId="25" xfId="0" applyFont="1" applyFill="1" applyBorder="1" applyAlignment="1">
      <alignment horizontal="left" vertical="center" wrapText="1" indent="1"/>
    </xf>
    <xf numFmtId="165" fontId="40" fillId="19" borderId="45" xfId="0" applyNumberFormat="1" applyFont="1" applyFill="1" applyBorder="1" applyAlignment="1">
      <alignment horizontal="left" vertical="center" wrapText="1" indent="1"/>
    </xf>
    <xf numFmtId="6" fontId="41" fillId="0" borderId="0" xfId="0" applyNumberFormat="1" applyFont="1"/>
    <xf numFmtId="0" fontId="42" fillId="12" borderId="0" xfId="0" applyFont="1" applyFill="1"/>
    <xf numFmtId="0" fontId="42" fillId="13" borderId="0" xfId="0" applyFont="1" applyFill="1" applyAlignment="1">
      <alignment horizontal="center"/>
    </xf>
    <xf numFmtId="0" fontId="8" fillId="5" borderId="5" xfId="0" applyFont="1" applyFill="1" applyBorder="1"/>
    <xf numFmtId="44" fontId="8" fillId="2" borderId="5" xfId="3" applyFont="1" applyFill="1" applyBorder="1"/>
    <xf numFmtId="44" fontId="8" fillId="2" borderId="7" xfId="0" applyNumberFormat="1" applyFont="1" applyFill="1" applyBorder="1"/>
    <xf numFmtId="6" fontId="8" fillId="2" borderId="6" xfId="3" applyNumberFormat="1" applyFont="1" applyFill="1" applyBorder="1"/>
    <xf numFmtId="6" fontId="8" fillId="2" borderId="6" xfId="0" applyNumberFormat="1" applyFont="1" applyFill="1" applyBorder="1"/>
    <xf numFmtId="44" fontId="8" fillId="2" borderId="8" xfId="0" applyNumberFormat="1" applyFont="1" applyFill="1" applyBorder="1"/>
    <xf numFmtId="0" fontId="8" fillId="5" borderId="6" xfId="0" applyFont="1" applyFill="1" applyBorder="1"/>
    <xf numFmtId="6" fontId="8" fillId="2" borderId="62" xfId="3" applyNumberFormat="1" applyFont="1" applyFill="1" applyBorder="1"/>
    <xf numFmtId="6" fontId="8" fillId="2" borderId="62" xfId="0" applyNumberFormat="1" applyFont="1" applyFill="1" applyBorder="1"/>
    <xf numFmtId="44" fontId="8" fillId="2" borderId="63" xfId="0" applyNumberFormat="1" applyFont="1" applyFill="1" applyBorder="1"/>
    <xf numFmtId="9" fontId="8" fillId="2" borderId="6" xfId="3" applyNumberFormat="1" applyFont="1" applyFill="1" applyBorder="1"/>
    <xf numFmtId="9" fontId="8" fillId="2" borderId="6" xfId="0" applyNumberFormat="1" applyFont="1" applyFill="1" applyBorder="1"/>
    <xf numFmtId="44" fontId="8" fillId="2" borderId="6" xfId="3" applyFont="1" applyFill="1" applyBorder="1"/>
    <xf numFmtId="44" fontId="8" fillId="2" borderId="6" xfId="0" applyNumberFormat="1" applyFont="1" applyFill="1" applyBorder="1"/>
    <xf numFmtId="0" fontId="14" fillId="7" borderId="9" xfId="0" applyFont="1" applyFill="1" applyBorder="1" applyAlignment="1" applyProtection="1">
      <alignment horizontal="left" vertical="center" wrapText="1" indent="1"/>
      <protection locked="0"/>
    </xf>
    <xf numFmtId="43" fontId="14" fillId="7" borderId="9" xfId="2" applyFont="1" applyFill="1" applyBorder="1" applyAlignment="1" applyProtection="1">
      <alignment horizontal="left" vertical="center" wrapText="1" indent="1"/>
      <protection locked="0"/>
    </xf>
    <xf numFmtId="164" fontId="14" fillId="7" borderId="9" xfId="2" applyNumberFormat="1" applyFont="1" applyFill="1" applyBorder="1" applyAlignment="1" applyProtection="1">
      <alignment horizontal="right" vertical="center" wrapText="1" indent="1"/>
      <protection locked="0"/>
    </xf>
    <xf numFmtId="43" fontId="14" fillId="7" borderId="21" xfId="2" applyFont="1" applyFill="1" applyBorder="1" applyAlignment="1" applyProtection="1">
      <alignment horizontal="left" vertical="center" wrapText="1" indent="1"/>
      <protection locked="0"/>
    </xf>
    <xf numFmtId="0" fontId="14" fillId="7" borderId="22" xfId="0" applyFont="1" applyFill="1" applyBorder="1" applyAlignment="1" applyProtection="1">
      <alignment horizontal="left" vertical="center" wrapText="1" indent="1"/>
      <protection locked="0"/>
    </xf>
    <xf numFmtId="164" fontId="14" fillId="7" borderId="40" xfId="2" applyNumberFormat="1" applyFont="1" applyFill="1" applyBorder="1" applyAlignment="1" applyProtection="1">
      <alignment horizontal="left" vertical="center" wrapText="1" indent="1"/>
      <protection locked="0"/>
    </xf>
    <xf numFmtId="164" fontId="14" fillId="7" borderId="41" xfId="2" applyNumberFormat="1" applyFont="1" applyFill="1" applyBorder="1" applyAlignment="1" applyProtection="1">
      <alignment horizontal="left" vertical="center" wrapText="1" indent="1"/>
      <protection locked="0"/>
    </xf>
    <xf numFmtId="164" fontId="14" fillId="7" borderId="21" xfId="2" applyNumberFormat="1" applyFont="1" applyFill="1" applyBorder="1" applyAlignment="1" applyProtection="1">
      <alignment horizontal="left" vertical="center" wrapText="1" indent="1"/>
      <protection locked="0"/>
    </xf>
    <xf numFmtId="164" fontId="14" fillId="7" borderId="22" xfId="2" applyNumberFormat="1" applyFont="1" applyFill="1" applyBorder="1" applyAlignment="1" applyProtection="1">
      <alignment horizontal="left" vertical="center" wrapText="1" indent="1"/>
      <protection locked="0"/>
    </xf>
    <xf numFmtId="164" fontId="14" fillId="7" borderId="47" xfId="2" applyNumberFormat="1" applyFont="1" applyFill="1" applyBorder="1" applyAlignment="1" applyProtection="1">
      <alignment horizontal="left" vertical="center" wrapText="1" indent="1"/>
      <protection locked="0"/>
    </xf>
    <xf numFmtId="165" fontId="14" fillId="7" borderId="21" xfId="2" applyNumberFormat="1" applyFont="1" applyFill="1" applyBorder="1" applyAlignment="1" applyProtection="1">
      <alignment horizontal="left" vertical="center" wrapText="1" indent="1"/>
      <protection locked="0"/>
    </xf>
    <xf numFmtId="165" fontId="14" fillId="7" borderId="10" xfId="2" applyNumberFormat="1" applyFont="1" applyFill="1" applyBorder="1" applyAlignment="1" applyProtection="1">
      <alignment horizontal="left" vertical="center" wrapText="1" indent="1"/>
      <protection locked="0"/>
    </xf>
    <xf numFmtId="165" fontId="14" fillId="7" borderId="22" xfId="2" applyNumberFormat="1" applyFont="1" applyFill="1" applyBorder="1" applyAlignment="1" applyProtection="1">
      <alignment horizontal="left" vertical="center" wrapText="1" indent="1"/>
      <protection locked="0"/>
    </xf>
    <xf numFmtId="165" fontId="14" fillId="7" borderId="13" xfId="2" applyNumberFormat="1" applyFont="1" applyFill="1" applyBorder="1" applyAlignment="1" applyProtection="1">
      <alignment horizontal="left" vertical="center" wrapText="1" indent="1"/>
      <protection locked="0"/>
    </xf>
    <xf numFmtId="165" fontId="14" fillId="7" borderId="41" xfId="3" applyNumberFormat="1" applyFont="1" applyFill="1" applyBorder="1" applyAlignment="1" applyProtection="1">
      <alignment horizontal="left" vertical="center" wrapText="1" indent="1"/>
      <protection locked="0"/>
    </xf>
    <xf numFmtId="0" fontId="20" fillId="8" borderId="15" xfId="0" applyFont="1" applyFill="1" applyBorder="1" applyAlignment="1">
      <alignment horizontal="center"/>
    </xf>
    <xf numFmtId="0" fontId="20" fillId="8" borderId="16" xfId="0" applyFont="1" applyFill="1" applyBorder="1" applyAlignment="1">
      <alignment horizontal="center"/>
    </xf>
    <xf numFmtId="0" fontId="20" fillId="8" borderId="17" xfId="0" applyFont="1" applyFill="1" applyBorder="1" applyAlignment="1">
      <alignment horizontal="center"/>
    </xf>
    <xf numFmtId="0" fontId="22" fillId="8" borderId="31" xfId="0" applyFont="1" applyFill="1" applyBorder="1" applyAlignment="1">
      <alignment horizontal="center" vertical="center"/>
    </xf>
    <xf numFmtId="0" fontId="22" fillId="8" borderId="0" xfId="0" applyFont="1" applyFill="1" applyAlignment="1">
      <alignment horizontal="center" vertical="center"/>
    </xf>
    <xf numFmtId="0" fontId="22" fillId="8" borderId="20" xfId="0" applyFont="1" applyFill="1" applyBorder="1" applyAlignment="1">
      <alignment horizontal="center" vertical="center"/>
    </xf>
    <xf numFmtId="0" fontId="22" fillId="8" borderId="52" xfId="0" applyFont="1" applyFill="1" applyBorder="1" applyAlignment="1">
      <alignment horizontal="center" vertical="center"/>
    </xf>
    <xf numFmtId="0" fontId="19" fillId="9" borderId="18" xfId="0" applyFont="1" applyFill="1" applyBorder="1" applyAlignment="1">
      <alignment horizontal="center" vertical="center"/>
    </xf>
    <xf numFmtId="0" fontId="19" fillId="9" borderId="14" xfId="0" applyFont="1" applyFill="1" applyBorder="1" applyAlignment="1">
      <alignment horizontal="center" vertical="center"/>
    </xf>
    <xf numFmtId="0" fontId="19" fillId="9" borderId="19" xfId="0" applyFont="1" applyFill="1" applyBorder="1" applyAlignment="1">
      <alignment horizontal="center" vertical="center"/>
    </xf>
    <xf numFmtId="0" fontId="15" fillId="16" borderId="39" xfId="0" applyFont="1" applyFill="1" applyBorder="1" applyAlignment="1">
      <alignment horizontal="center" vertical="center" wrapText="1"/>
    </xf>
    <xf numFmtId="0" fontId="15" fillId="16" borderId="47" xfId="0" applyFont="1" applyFill="1" applyBorder="1" applyAlignment="1">
      <alignment horizontal="center" vertical="center" wrapText="1"/>
    </xf>
    <xf numFmtId="0" fontId="15" fillId="16" borderId="41" xfId="0" applyFont="1" applyFill="1" applyBorder="1" applyAlignment="1">
      <alignment horizontal="center" vertical="center" wrapText="1"/>
    </xf>
    <xf numFmtId="0" fontId="34" fillId="9" borderId="18" xfId="0" applyFont="1" applyFill="1" applyBorder="1" applyAlignment="1">
      <alignment horizontal="left" wrapText="1" indent="1"/>
    </xf>
    <xf numFmtId="0" fontId="34" fillId="9" borderId="19" xfId="0" applyFont="1" applyFill="1" applyBorder="1" applyAlignment="1">
      <alignment horizontal="left" wrapText="1" indent="1"/>
    </xf>
    <xf numFmtId="0" fontId="19" fillId="9" borderId="31" xfId="0" applyFont="1" applyFill="1" applyBorder="1" applyAlignment="1">
      <alignment horizontal="center" vertical="center"/>
    </xf>
    <xf numFmtId="0" fontId="19" fillId="9" borderId="13" xfId="0" applyFont="1" applyFill="1" applyBorder="1" applyAlignment="1">
      <alignment horizontal="center" vertical="center"/>
    </xf>
    <xf numFmtId="0" fontId="26" fillId="10" borderId="55" xfId="0" quotePrefix="1" applyFont="1" applyFill="1" applyBorder="1" applyAlignment="1">
      <alignment horizontal="center" vertical="center"/>
    </xf>
    <xf numFmtId="0" fontId="26" fillId="10" borderId="56" xfId="0" quotePrefix="1" applyFont="1" applyFill="1" applyBorder="1" applyAlignment="1">
      <alignment horizontal="center" vertical="center"/>
    </xf>
    <xf numFmtId="0" fontId="15" fillId="18" borderId="68" xfId="0" applyFont="1" applyFill="1" applyBorder="1" applyAlignment="1">
      <alignment horizontal="center" vertical="center" wrapText="1"/>
    </xf>
    <xf numFmtId="0" fontId="15" fillId="18" borderId="69" xfId="0" applyFont="1" applyFill="1" applyBorder="1" applyAlignment="1">
      <alignment horizontal="center" vertical="center" wrapText="1"/>
    </xf>
    <xf numFmtId="0" fontId="15" fillId="18" borderId="70" xfId="0" applyFont="1" applyFill="1" applyBorder="1" applyAlignment="1">
      <alignment horizontal="center" vertical="center" wrapText="1"/>
    </xf>
    <xf numFmtId="0" fontId="40" fillId="19" borderId="63" xfId="0" applyFont="1" applyFill="1" applyBorder="1" applyAlignment="1">
      <alignment horizontal="left" vertical="center" wrapText="1"/>
    </xf>
    <xf numFmtId="0" fontId="40" fillId="19" borderId="12" xfId="0" applyFont="1" applyFill="1" applyBorder="1" applyAlignment="1">
      <alignment horizontal="left" vertical="center" wrapText="1"/>
    </xf>
    <xf numFmtId="0" fontId="40" fillId="19" borderId="61" xfId="0" applyFont="1" applyFill="1" applyBorder="1" applyAlignment="1">
      <alignment horizontal="left" vertical="center" wrapText="1"/>
    </xf>
    <xf numFmtId="165" fontId="40" fillId="19" borderId="67" xfId="0" applyNumberFormat="1" applyFont="1" applyFill="1" applyBorder="1" applyAlignment="1">
      <alignment horizontal="left" vertical="center" wrapText="1"/>
    </xf>
    <xf numFmtId="165" fontId="40" fillId="19" borderId="10" xfId="0" applyNumberFormat="1" applyFont="1" applyFill="1" applyBorder="1" applyAlignment="1">
      <alignment horizontal="left" vertical="center" wrapText="1"/>
    </xf>
    <xf numFmtId="165" fontId="40" fillId="19" borderId="54" xfId="0" applyNumberFormat="1" applyFont="1" applyFill="1" applyBorder="1" applyAlignment="1">
      <alignment horizontal="left" vertical="center" wrapText="1"/>
    </xf>
    <xf numFmtId="0" fontId="25" fillId="16" borderId="0" xfId="0" applyFont="1" applyFill="1" applyAlignment="1">
      <alignment horizontal="center" vertical="center" wrapText="1"/>
    </xf>
    <xf numFmtId="0" fontId="5" fillId="4" borderId="2" xfId="0" applyFont="1" applyFill="1" applyBorder="1" applyAlignment="1">
      <alignment horizontal="center" vertical="top" wrapText="1"/>
    </xf>
    <xf numFmtId="0" fontId="5" fillId="4" borderId="3"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1" xfId="0" applyFont="1" applyFill="1" applyBorder="1" applyAlignment="1">
      <alignment horizontal="center" vertical="top" wrapText="1"/>
    </xf>
    <xf numFmtId="0" fontId="43" fillId="9" borderId="0" xfId="0" applyFont="1" applyFill="1" applyAlignment="1">
      <alignment horizontal="center" wrapText="1"/>
    </xf>
    <xf numFmtId="0" fontId="43" fillId="9" borderId="0" xfId="0" applyFont="1" applyFill="1" applyAlignment="1">
      <alignment horizontal="center"/>
    </xf>
  </cellXfs>
  <cellStyles count="6">
    <cellStyle name="Comma" xfId="2" builtinId="3"/>
    <cellStyle name="Currency" xfId="3" builtinId="4"/>
    <cellStyle name="Hyperlink" xfId="1" builtinId="8"/>
    <cellStyle name="Hyperlink 2" xfId="5" xr:uid="{58655CB2-9257-48E6-824E-667EFF01EB75}"/>
    <cellStyle name="Normal" xfId="0" builtinId="0"/>
    <cellStyle name="Normal 2" xfId="4" xr:uid="{07133A47-69CB-4E5E-AA9D-7FB503590D5B}"/>
  </cellStyles>
  <dxfs count="103">
    <dxf>
      <font>
        <color theme="9" tint="-0.24994659260841701"/>
      </font>
    </dxf>
    <dxf>
      <font>
        <color rgb="FFC00000"/>
      </font>
      <fill>
        <patternFill>
          <bgColor theme="5" tint="0.79998168889431442"/>
        </patternFill>
      </fill>
    </dxf>
    <dxf>
      <font>
        <color rgb="FFF0F9FA"/>
      </font>
      <fill>
        <patternFill>
          <bgColor rgb="FFF0F9FA"/>
        </patternFill>
      </fill>
      <border>
        <right style="thin">
          <color theme="0" tint="-0.24994659260841701"/>
        </right>
        <top/>
        <bottom style="thin">
          <color theme="0" tint="-0.24994659260841701"/>
        </bottom>
      </border>
    </dxf>
    <dxf>
      <font>
        <color theme="0"/>
      </font>
      <fill>
        <patternFill>
          <bgColor theme="0"/>
        </patternFill>
      </fill>
      <border>
        <right/>
        <bottom/>
      </border>
    </dxf>
    <dxf>
      <font>
        <color theme="9" tint="-0.24994659260841701"/>
      </font>
    </dxf>
    <dxf>
      <font>
        <color rgb="FFC00000"/>
      </font>
      <fill>
        <patternFill>
          <bgColor theme="5" tint="0.79998168889431442"/>
        </patternFill>
      </fill>
    </dxf>
    <dxf>
      <fill>
        <patternFill>
          <bgColor rgb="FFF0F9FA"/>
        </patternFill>
      </fill>
    </dxf>
    <dxf>
      <border>
        <left style="thin">
          <color theme="0" tint="-0.24994659260841701"/>
        </left>
        <top style="thin">
          <color theme="0" tint="-0.24994659260841701"/>
        </top>
        <bottom style="thin">
          <color theme="0" tint="-0.24994659260841701"/>
        </bottom>
        <vertical/>
        <horizontal/>
      </border>
    </dxf>
    <dxf>
      <font>
        <color theme="9" tint="-0.24994659260841701"/>
      </font>
    </dxf>
    <dxf>
      <font>
        <color rgb="FFC00000"/>
      </font>
      <fill>
        <patternFill>
          <bgColor theme="5" tint="0.79998168889431442"/>
        </patternFill>
      </fill>
    </dxf>
    <dxf>
      <fill>
        <patternFill>
          <bgColor rgb="FFF0F9FA"/>
        </patternFill>
      </fill>
      <border>
        <left/>
        <top/>
        <bottom/>
        <vertical/>
        <horizontal/>
      </border>
    </dxf>
    <dxf>
      <border>
        <left style="thin">
          <color theme="0" tint="-0.24994659260841701"/>
        </left>
        <right style="thin">
          <color theme="0" tint="-0.24994659260841701"/>
        </right>
        <top style="thin">
          <color theme="0" tint="-0.24994659260841701"/>
        </top>
        <bottom style="thin">
          <color theme="0" tint="-0.24994659260841701"/>
        </bottom>
        <vertical/>
        <horizontal/>
      </border>
    </dxf>
    <dxf>
      <font>
        <color rgb="FFF0F9FA"/>
      </font>
      <fill>
        <patternFill>
          <bgColor rgb="FFF0F9FA"/>
        </patternFill>
      </fill>
      <border>
        <left/>
        <top/>
      </border>
    </dxf>
    <dxf>
      <font>
        <color rgb="FFF0F9FA"/>
      </font>
      <fill>
        <patternFill>
          <bgColor rgb="FFF0F9FA"/>
        </patternFill>
      </fill>
      <border>
        <right/>
        <top/>
        <bottom style="thin">
          <color theme="0" tint="-0.24994659260841701"/>
        </bottom>
      </border>
    </dxf>
    <dxf>
      <font>
        <color theme="9" tint="-0.24994659260841701"/>
      </font>
      <fill>
        <patternFill>
          <bgColor rgb="FFF2F2F2"/>
        </patternFill>
      </fill>
    </dxf>
    <dxf>
      <font>
        <color rgb="FFC00000"/>
      </font>
      <fill>
        <patternFill>
          <bgColor theme="5" tint="0.79998168889431442"/>
        </patternFill>
      </fill>
    </dxf>
    <dxf>
      <fill>
        <patternFill>
          <bgColor rgb="FFF0F9FA"/>
        </patternFill>
      </fill>
      <border>
        <top/>
        <bottom/>
        <vertical/>
        <horizontal/>
      </border>
    </dxf>
    <dxf>
      <border>
        <right style="thin">
          <color theme="0" tint="-0.24994659260841701"/>
        </right>
        <top style="thin">
          <color theme="0" tint="-0.24994659260841701"/>
        </top>
        <bottom style="thin">
          <color theme="0" tint="-0.24994659260841701"/>
        </bottom>
        <vertical/>
        <horizontal/>
      </border>
    </dxf>
    <dxf>
      <font>
        <b val="0"/>
        <i val="0"/>
        <color rgb="FFC00000"/>
      </font>
      <fill>
        <patternFill>
          <bgColor theme="5" tint="0.79998168889431442"/>
        </patternFill>
      </fill>
    </dxf>
    <dxf>
      <font>
        <b val="0"/>
        <i val="0"/>
        <color theme="9" tint="-0.24994659260841701"/>
      </font>
    </dxf>
    <dxf>
      <font>
        <color rgb="FFF0F9FA"/>
      </font>
      <fill>
        <patternFill>
          <bgColor rgb="FFF0F9FA"/>
        </patternFill>
      </fill>
      <border>
        <left/>
        <right style="thin">
          <color theme="0" tint="-0.24994659260841701"/>
        </right>
        <top/>
        <bottom/>
      </border>
    </dxf>
    <dxf>
      <font>
        <color rgb="FFC00000"/>
      </font>
      <fill>
        <patternFill>
          <bgColor theme="5" tint="0.79998168889431442"/>
        </patternFill>
      </fill>
    </dxf>
    <dxf>
      <font>
        <color theme="9" tint="-0.24994659260841701"/>
      </font>
    </dxf>
    <dxf>
      <font>
        <color rgb="FFF0F9FA"/>
      </font>
      <fill>
        <patternFill>
          <bgColor rgb="FFF0F9FA"/>
        </patternFill>
      </fill>
      <border>
        <right style="thin">
          <color theme="0" tint="-0.34998626667073579"/>
        </right>
        <top/>
        <bottom/>
      </border>
    </dxf>
    <dxf>
      <border>
        <right style="thin">
          <color theme="0" tint="-0.34998626667073579"/>
        </right>
        <bottom style="thin">
          <color theme="0" tint="-0.24994659260841701"/>
        </bottom>
        <vertical/>
        <horizontal/>
      </border>
    </dxf>
    <dxf>
      <font>
        <color rgb="FFF0F9FA"/>
      </font>
      <fill>
        <patternFill>
          <bgColor rgb="FFF0F9FA"/>
        </patternFill>
      </fill>
      <border>
        <left/>
        <right style="thin">
          <color theme="0" tint="-0.34998626667073579"/>
        </right>
        <top/>
        <vertical/>
        <horizontal/>
      </border>
    </dxf>
    <dxf>
      <fill>
        <patternFill>
          <bgColor rgb="FFFFF9E6"/>
        </patternFill>
      </fill>
    </dxf>
    <dxf>
      <fill>
        <patternFill>
          <bgColor rgb="FFFFF9E6"/>
        </patternFill>
      </fill>
    </dxf>
    <dxf>
      <border>
        <left/>
        <right style="thin">
          <color theme="0" tint="-0.24994659260841701"/>
        </right>
        <vertical/>
        <horizontal/>
      </border>
    </dxf>
    <dxf>
      <fill>
        <patternFill>
          <bgColor rgb="FFFFF9E6"/>
        </patternFill>
      </fill>
    </dxf>
    <dxf>
      <border>
        <left/>
        <right style="thin">
          <color theme="0" tint="-0.24994659260841701"/>
        </right>
        <vertical/>
        <horizontal/>
      </border>
    </dxf>
    <dxf>
      <font>
        <color rgb="FFF0F9FA"/>
      </font>
      <fill>
        <patternFill>
          <bgColor rgb="FFF0F9FA"/>
        </patternFill>
      </fill>
      <border>
        <right style="thin">
          <color theme="0" tint="-0.34998626667073579"/>
        </right>
        <top/>
        <bottom/>
        <vertical/>
        <horizontal/>
      </border>
    </dxf>
    <dxf>
      <fill>
        <patternFill>
          <bgColor rgb="FFFFF9E6"/>
        </patternFill>
      </fill>
      <border>
        <right style="thin">
          <color theme="0" tint="-0.34998626667073579"/>
        </right>
      </border>
    </dxf>
    <dxf>
      <font>
        <color rgb="FFF0F9FA"/>
      </font>
      <fill>
        <patternFill>
          <bgColor rgb="FFF0F9FA"/>
        </patternFill>
      </fill>
      <border>
        <right style="thin">
          <color theme="0" tint="-0.34998626667073579"/>
        </right>
        <top/>
        <bottom/>
      </border>
    </dxf>
    <dxf>
      <border>
        <left/>
        <right style="thin">
          <color theme="0" tint="-0.24994659260841701"/>
        </right>
        <vertical/>
        <horizontal/>
      </border>
    </dxf>
    <dxf>
      <fill>
        <patternFill>
          <bgColor rgb="FFFFF9E6"/>
        </patternFill>
      </fill>
    </dxf>
    <dxf>
      <font>
        <color rgb="FFF0F9FA"/>
      </font>
      <fill>
        <patternFill>
          <bgColor rgb="FFF0F9FA"/>
        </patternFill>
      </fill>
      <border>
        <right style="thin">
          <color theme="0" tint="-0.34998626667073579"/>
        </right>
        <top/>
        <bottom/>
      </border>
    </dxf>
    <dxf>
      <border>
        <left/>
        <right style="thin">
          <color theme="0" tint="-0.24994659260841701"/>
        </right>
        <vertical/>
        <horizontal/>
      </border>
    </dxf>
    <dxf>
      <fill>
        <patternFill>
          <bgColor rgb="FFFFF9E6"/>
        </patternFill>
      </fill>
    </dxf>
    <dxf>
      <fill>
        <patternFill>
          <bgColor rgb="FFFFF9E6"/>
        </patternFill>
      </fill>
    </dxf>
    <dxf>
      <font>
        <color rgb="FFF0F9FA"/>
      </font>
      <fill>
        <patternFill>
          <bgColor rgb="FFF0F9FA"/>
        </patternFill>
      </fill>
    </dxf>
    <dxf>
      <font>
        <color rgb="FFF0F9FA"/>
      </font>
      <fill>
        <patternFill>
          <bgColor rgb="FFF0F9FA"/>
        </patternFill>
      </fill>
      <border>
        <top/>
      </border>
    </dxf>
    <dxf>
      <font>
        <color auto="1"/>
      </font>
      <fill>
        <patternFill>
          <bgColor rgb="FFFFF9E6"/>
        </patternFill>
      </fill>
    </dxf>
    <dxf>
      <border>
        <left/>
        <right style="thin">
          <color theme="0" tint="-0.24994659260841701"/>
        </right>
        <vertical/>
        <horizontal/>
      </border>
    </dxf>
    <dxf>
      <fill>
        <patternFill>
          <bgColor rgb="FFFFF9E6"/>
        </patternFill>
      </fill>
    </dxf>
    <dxf>
      <font>
        <color rgb="FFF0F9FA"/>
      </font>
      <fill>
        <patternFill>
          <bgColor rgb="FFF0F9FA"/>
        </patternFill>
      </fill>
      <border>
        <left/>
        <right/>
        <top/>
        <bottom/>
      </border>
    </dxf>
    <dxf>
      <font>
        <color rgb="FFF0F9FA"/>
      </font>
      <fill>
        <patternFill>
          <bgColor rgb="FFF0F9FA"/>
        </patternFill>
      </fill>
      <border>
        <top/>
        <bottom/>
      </border>
    </dxf>
    <dxf>
      <border>
        <left/>
        <right/>
        <bottom style="thin">
          <color theme="0" tint="-0.24994659260841701"/>
        </bottom>
        <vertical/>
        <horizontal/>
      </border>
    </dxf>
    <dxf>
      <font>
        <color rgb="FFF0F9FA"/>
      </font>
      <fill>
        <patternFill>
          <bgColor rgb="FFF0F9FA"/>
        </patternFill>
      </fill>
      <border>
        <top/>
        <bottom/>
      </border>
    </dxf>
    <dxf>
      <font>
        <color rgb="FFF0F9FA"/>
      </font>
      <fill>
        <patternFill>
          <bgColor rgb="FFF0F9FA"/>
        </patternFill>
      </fill>
      <border>
        <left/>
        <right/>
      </border>
    </dxf>
    <dxf>
      <font>
        <color rgb="FFF0F9FA"/>
      </font>
      <fill>
        <patternFill>
          <bgColor rgb="FFF0F9FA"/>
        </patternFill>
      </fill>
      <border>
        <left/>
        <right/>
        <top/>
      </border>
    </dxf>
    <dxf>
      <fill>
        <patternFill>
          <bgColor theme="0"/>
        </patternFill>
      </fill>
      <border>
        <right style="thin">
          <color theme="0" tint="-0.24994659260841701"/>
        </right>
      </border>
    </dxf>
    <dxf>
      <fill>
        <patternFill>
          <bgColor rgb="FFFFF9E6"/>
        </patternFill>
      </fill>
    </dxf>
    <dxf>
      <border>
        <left/>
        <right style="thin">
          <color theme="0" tint="-0.24994659260841701"/>
        </right>
        <vertical/>
        <horizontal/>
      </border>
    </dxf>
    <dxf>
      <border>
        <left/>
        <right style="thin">
          <color theme="0" tint="-0.24994659260841701"/>
        </right>
        <vertical/>
        <horizontal/>
      </border>
    </dxf>
    <dxf>
      <fill>
        <patternFill>
          <bgColor rgb="FFFFF9E6"/>
        </patternFill>
      </fill>
    </dxf>
    <dxf>
      <border>
        <left/>
        <right style="thin">
          <color theme="0" tint="-0.24994659260841701"/>
        </right>
        <vertical/>
        <horizontal/>
      </border>
    </dxf>
    <dxf>
      <fill>
        <patternFill>
          <bgColor rgb="FFFFF9E6"/>
        </patternFill>
      </fill>
    </dxf>
    <dxf>
      <fill>
        <patternFill>
          <bgColor rgb="FFFFF9E6"/>
        </patternFill>
      </fill>
    </dxf>
    <dxf>
      <border>
        <left/>
        <right style="thin">
          <color theme="0" tint="-0.24994659260841701"/>
        </right>
        <vertical/>
        <horizontal/>
      </border>
    </dxf>
    <dxf>
      <fill>
        <patternFill>
          <bgColor rgb="FFFFF9E6"/>
        </patternFill>
      </fill>
    </dxf>
    <dxf>
      <border>
        <left/>
        <right style="thin">
          <color theme="0" tint="-0.24994659260841701"/>
        </right>
        <vertical/>
        <horizontal/>
      </border>
    </dxf>
    <dxf>
      <font>
        <color auto="1"/>
      </font>
      <fill>
        <patternFill>
          <bgColor rgb="FFFFF9E6"/>
        </patternFill>
      </fill>
    </dxf>
    <dxf>
      <fill>
        <patternFill>
          <bgColor rgb="FFFFF9E6"/>
        </patternFill>
      </fill>
    </dxf>
    <dxf>
      <font>
        <color rgb="FFF0F9FA"/>
      </font>
      <fill>
        <patternFill>
          <bgColor rgb="FFF0F9FA"/>
        </patternFill>
      </fill>
      <border>
        <right/>
        <top/>
        <bottom/>
      </border>
    </dxf>
    <dxf>
      <border>
        <right/>
        <bottom style="thin">
          <color theme="0" tint="-0.24994659260841701"/>
        </bottom>
        <vertical/>
        <horizontal/>
      </border>
    </dxf>
    <dxf>
      <border>
        <right style="thin">
          <color theme="0" tint="-0.24994659260841701"/>
        </right>
        <bottom style="thin">
          <color theme="0" tint="-0.24994659260841701"/>
        </bottom>
        <vertical/>
        <horizontal/>
      </border>
    </dxf>
    <dxf>
      <fill>
        <patternFill>
          <bgColor rgb="FFFFF9E6"/>
        </patternFill>
      </fill>
    </dxf>
    <dxf>
      <border>
        <left/>
        <right style="thin">
          <color theme="0" tint="-0.24994659260841701"/>
        </right>
        <vertical/>
        <horizontal/>
      </border>
    </dxf>
    <dxf>
      <fill>
        <patternFill>
          <bgColor rgb="FFFFF9E6"/>
        </patternFill>
      </fill>
    </dxf>
    <dxf>
      <fill>
        <patternFill>
          <bgColor rgb="FFFFF9E6"/>
        </patternFill>
      </fill>
    </dxf>
    <dxf>
      <border>
        <left/>
        <right style="thin">
          <color theme="0" tint="-0.24994659260841701"/>
        </right>
        <vertical/>
        <horizontal/>
      </border>
    </dxf>
    <dxf>
      <border>
        <left/>
        <right style="thin">
          <color theme="0" tint="-0.24994659260841701"/>
        </right>
        <vertical/>
        <horizontal/>
      </border>
    </dxf>
    <dxf>
      <fill>
        <patternFill>
          <bgColor rgb="FFFFF9E6"/>
        </patternFill>
      </fill>
    </dxf>
    <dxf>
      <border>
        <left/>
        <right style="thin">
          <color theme="0" tint="-0.24994659260841701"/>
        </right>
        <vertical/>
        <horizontal/>
      </border>
    </dxf>
    <dxf>
      <fill>
        <patternFill>
          <bgColor rgb="FFFFF9E6"/>
        </patternFill>
      </fill>
    </dxf>
    <dxf>
      <fill>
        <patternFill>
          <bgColor rgb="FFFFF9E6"/>
        </patternFill>
      </fill>
    </dxf>
    <dxf>
      <border>
        <left/>
        <right style="thin">
          <color theme="0" tint="-0.24994659260841701"/>
        </right>
        <vertical/>
        <horizontal/>
      </border>
    </dxf>
    <dxf>
      <font>
        <color auto="1"/>
      </font>
      <fill>
        <patternFill>
          <bgColor rgb="FFFFF9E6"/>
        </patternFill>
      </fill>
    </dxf>
    <dxf>
      <border>
        <left/>
        <right/>
        <bottom style="thin">
          <color theme="0" tint="-0.24994659260841701"/>
        </bottom>
        <vertical/>
        <horizontal/>
      </border>
    </dxf>
    <dxf>
      <font>
        <color rgb="FFF0F9FA"/>
      </font>
      <fill>
        <patternFill>
          <bgColor rgb="FFF0F9FA"/>
        </patternFill>
      </fill>
      <border>
        <right/>
        <top/>
        <bottom/>
      </border>
    </dxf>
    <dxf>
      <fill>
        <patternFill>
          <bgColor rgb="FFFFF9E6"/>
        </patternFill>
      </fill>
    </dxf>
    <dxf>
      <border>
        <left/>
        <right style="thin">
          <color theme="0" tint="-0.24994659260841701"/>
        </right>
        <vertical/>
        <horizontal/>
      </border>
    </dxf>
    <dxf>
      <border>
        <left/>
        <right style="thin">
          <color theme="0" tint="-0.24994659260841701"/>
        </right>
        <vertical/>
        <horizontal/>
      </border>
    </dxf>
    <dxf>
      <border>
        <left/>
        <right style="thin">
          <color theme="0" tint="-0.24994659260841701"/>
        </right>
        <vertical/>
        <horizontal/>
      </border>
    </dxf>
    <dxf>
      <border>
        <left/>
        <right style="thin">
          <color theme="0" tint="-0.24994659260841701"/>
        </right>
        <vertical/>
        <horizontal/>
      </border>
    </dxf>
    <dxf>
      <fill>
        <patternFill>
          <bgColor rgb="FFFFF9E6"/>
        </patternFill>
      </fill>
    </dxf>
    <dxf>
      <border>
        <left/>
        <right style="thin">
          <color theme="0" tint="-0.24994659260841701"/>
        </right>
        <vertical/>
        <horizontal/>
      </border>
    </dxf>
    <dxf>
      <fill>
        <patternFill>
          <bgColor rgb="FFFFF9E6"/>
        </patternFill>
      </fill>
    </dxf>
    <dxf>
      <border>
        <left/>
        <right style="thin">
          <color theme="0" tint="-0.24994659260841701"/>
        </right>
        <top style="thin">
          <color theme="0" tint="-0.24994659260841701"/>
        </top>
        <bottom style="thin">
          <color theme="0" tint="-0.24994659260841701"/>
        </bottom>
        <vertical/>
        <horizontal/>
      </border>
    </dxf>
    <dxf>
      <font>
        <color auto="1"/>
      </font>
      <fill>
        <patternFill>
          <bgColor rgb="FFFFF9E6"/>
        </patternFill>
      </fill>
    </dxf>
    <dxf>
      <font>
        <color rgb="FFF0F9FA"/>
      </font>
      <fill>
        <patternFill>
          <bgColor rgb="FFF0F9FA"/>
        </patternFill>
      </fill>
      <border>
        <top/>
        <bottom style="thin">
          <color theme="0" tint="-0.24994659260841701"/>
        </bottom>
      </border>
    </dxf>
    <dxf>
      <font>
        <color rgb="FFF0F9FA"/>
      </font>
      <fill>
        <patternFill>
          <bgColor rgb="FFF0F9FA"/>
        </patternFill>
      </fill>
      <border>
        <left/>
        <top/>
      </border>
    </dxf>
    <dxf>
      <font>
        <color rgb="FFF0F9FA"/>
      </font>
      <fill>
        <patternFill>
          <bgColor rgb="FFF0F9FA"/>
        </patternFill>
      </fill>
      <border>
        <right/>
        <top/>
      </border>
    </dxf>
    <dxf>
      <border>
        <right/>
        <bottom style="thin">
          <color theme="0" tint="-0.24994659260841701"/>
        </bottom>
        <vertical/>
        <horizontal/>
      </border>
    </dxf>
    <dxf>
      <border>
        <right/>
        <bottom style="thin">
          <color theme="0" tint="-0.24994659260841701"/>
        </bottom>
        <vertical/>
        <horizontal/>
      </border>
    </dxf>
    <dxf>
      <font>
        <color rgb="FFF0F9FA"/>
      </font>
      <fill>
        <patternFill>
          <bgColor rgb="FFF0F9FA"/>
        </patternFill>
      </fill>
      <border>
        <left/>
        <right/>
        <top/>
        <bottom/>
        <vertical/>
        <horizontal/>
      </border>
    </dxf>
    <dxf>
      <font>
        <color rgb="FFF0F9FA"/>
      </font>
      <fill>
        <patternFill>
          <bgColor rgb="FFF0F9FA"/>
        </patternFill>
      </fill>
      <border>
        <right/>
        <top/>
        <bottom/>
      </border>
    </dxf>
    <dxf>
      <font>
        <color rgb="FFF0F9FA"/>
      </font>
      <fill>
        <patternFill>
          <bgColor rgb="FFF0F9FA"/>
        </patternFill>
      </fill>
      <border>
        <right/>
        <top/>
        <bottom/>
        <vertical/>
        <horizontal/>
      </border>
    </dxf>
    <dxf>
      <font>
        <color rgb="FFF0F9FA"/>
      </font>
      <fill>
        <patternFill>
          <bgColor rgb="FFF0F9FA"/>
        </patternFill>
      </fill>
      <border>
        <right/>
        <top/>
        <bottom/>
        <vertical/>
        <horizontal/>
      </border>
    </dxf>
    <dxf>
      <font>
        <color rgb="FFF0F9FA"/>
      </font>
      <fill>
        <patternFill>
          <bgColor rgb="FFF0F9FA"/>
        </patternFill>
      </fill>
      <border>
        <right/>
        <top/>
        <bottom/>
      </border>
    </dxf>
    <dxf>
      <font>
        <b val="0"/>
        <i val="0"/>
        <color theme="9" tint="-0.24994659260841701"/>
      </font>
    </dxf>
    <dxf>
      <font>
        <b val="0"/>
        <i val="0"/>
        <color rgb="FFC00000"/>
      </font>
      <fill>
        <patternFill>
          <bgColor theme="5" tint="0.79998168889431442"/>
        </patternFill>
      </fill>
    </dxf>
  </dxfs>
  <tableStyles count="0" defaultTableStyle="TableStyleMedium2" defaultPivotStyle="PivotStyleLight16"/>
  <colors>
    <mruColors>
      <color rgb="FFF0F9FA"/>
      <color rgb="FF329E51"/>
      <color rgb="FFFFFFCC"/>
      <color rgb="FFFFFFFF"/>
      <color rgb="FF2D8F49"/>
      <color rgb="FFF2F2F2"/>
      <color rgb="FF004064"/>
      <color rgb="FFF2F4F7"/>
      <color rgb="FF154722"/>
      <color rgb="FFFFF9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179693</xdr:colOff>
      <xdr:row>1</xdr:row>
      <xdr:rowOff>1223045</xdr:rowOff>
    </xdr:from>
    <xdr:to>
      <xdr:col>0</xdr:col>
      <xdr:colOff>4473129</xdr:colOff>
      <xdr:row>2</xdr:row>
      <xdr:rowOff>352425</xdr:rowOff>
    </xdr:to>
    <xdr:pic>
      <xdr:nvPicPr>
        <xdr:cNvPr id="24" name="Picture 61" descr="Maryland energy administration logo featuring solar panel, building, maryland flag">
          <a:extLst>
            <a:ext uri="{FF2B5EF4-FFF2-40B4-BE49-F238E27FC236}">
              <a16:creationId xmlns:a16="http://schemas.microsoft.com/office/drawing/2014/main" id="{D3069163-F86F-4886-BBEB-EC724798674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9693" y="1318295"/>
          <a:ext cx="4293436" cy="12439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xdr:row>
      <xdr:rowOff>0</xdr:rowOff>
    </xdr:from>
    <xdr:to>
      <xdr:col>2</xdr:col>
      <xdr:colOff>0</xdr:colOff>
      <xdr:row>1</xdr:row>
      <xdr:rowOff>1247775</xdr:rowOff>
    </xdr:to>
    <xdr:sp macro="" textlink="">
      <xdr:nvSpPr>
        <xdr:cNvPr id="2" name="TextBox 7">
          <a:extLst>
            <a:ext uri="{FF2B5EF4-FFF2-40B4-BE49-F238E27FC236}">
              <a16:creationId xmlns:a16="http://schemas.microsoft.com/office/drawing/2014/main" id="{74D21309-2976-422D-9529-6E41E11BF25D}"/>
            </a:ext>
          </a:extLst>
        </xdr:cNvPr>
        <xdr:cNvSpPr txBox="1"/>
      </xdr:nvSpPr>
      <xdr:spPr>
        <a:xfrm>
          <a:off x="0" y="95250"/>
          <a:ext cx="14382750" cy="1247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3200" b="1" i="0" baseline="0">
              <a:solidFill>
                <a:schemeClr val="dk1"/>
              </a:solidFill>
              <a:effectLst/>
              <a:latin typeface="Aptos" panose="020B0004020202020204" pitchFamily="34" charset="0"/>
              <a:ea typeface="+mn-ea"/>
              <a:cs typeface="+mn-cs"/>
            </a:rPr>
            <a:t>FY27 Commercial &amp; Community Buildings </a:t>
          </a:r>
          <a:br>
            <a:rPr lang="en-US" sz="3200" b="1" i="0" baseline="0">
              <a:solidFill>
                <a:schemeClr val="dk1"/>
              </a:solidFill>
              <a:effectLst/>
              <a:latin typeface="Aptos" panose="020B0004020202020204" pitchFamily="34" charset="0"/>
              <a:ea typeface="+mn-ea"/>
              <a:cs typeface="+mn-cs"/>
            </a:rPr>
          </a:br>
          <a:r>
            <a:rPr lang="en-US" sz="3200" b="1" i="0" baseline="0">
              <a:solidFill>
                <a:schemeClr val="dk1"/>
              </a:solidFill>
              <a:effectLst/>
              <a:latin typeface="Aptos" panose="020B0004020202020204" pitchFamily="34" charset="0"/>
              <a:ea typeface="+mn-ea"/>
              <a:cs typeface="+mn-cs"/>
            </a:rPr>
            <a:t>Program Grant Calculator</a:t>
          </a:r>
          <a:endParaRPr lang="en-US" sz="3200" b="1">
            <a:effectLst/>
            <a:latin typeface="Aptos" panose="020B0004020202020204" pitchFamily="34" charset="0"/>
          </a:endParaRPr>
        </a:p>
        <a:p>
          <a:pPr algn="ctr"/>
          <a:endParaRPr lang="en-US" sz="3200">
            <a:latin typeface="Aptos" panose="020B0004020202020204" pitchFamily="34" charset="0"/>
          </a:endParaRPr>
        </a:p>
      </xdr:txBody>
    </xdr:sp>
    <xdr:clientData/>
  </xdr:twoCellAnchor>
  <xdr:twoCellAnchor>
    <xdr:from>
      <xdr:col>1</xdr:col>
      <xdr:colOff>8015968</xdr:colOff>
      <xdr:row>1</xdr:row>
      <xdr:rowOff>723900</xdr:rowOff>
    </xdr:from>
    <xdr:to>
      <xdr:col>1</xdr:col>
      <xdr:colOff>9779453</xdr:colOff>
      <xdr:row>2</xdr:row>
      <xdr:rowOff>457201</xdr:rowOff>
    </xdr:to>
    <xdr:grpSp>
      <xdr:nvGrpSpPr>
        <xdr:cNvPr id="4" name="Group 3">
          <a:extLst>
            <a:ext uri="{FF2B5EF4-FFF2-40B4-BE49-F238E27FC236}">
              <a16:creationId xmlns:a16="http://schemas.microsoft.com/office/drawing/2014/main" id="{D7DF658F-821C-4D0B-B406-7FE5BBA8577C}"/>
            </a:ext>
          </a:extLst>
        </xdr:cNvPr>
        <xdr:cNvGrpSpPr/>
      </xdr:nvGrpSpPr>
      <xdr:grpSpPr>
        <a:xfrm>
          <a:off x="12615182" y="900793"/>
          <a:ext cx="1763485" cy="1842408"/>
          <a:chOff x="15681325" y="123825"/>
          <a:chExt cx="1762124" cy="1847851"/>
        </a:xfrm>
      </xdr:grpSpPr>
      <xdr:sp macro="" textlink="">
        <xdr:nvSpPr>
          <xdr:cNvPr id="5" name="Flowchart: Delay 4">
            <a:extLst>
              <a:ext uri="{FF2B5EF4-FFF2-40B4-BE49-F238E27FC236}">
                <a16:creationId xmlns:a16="http://schemas.microsoft.com/office/drawing/2014/main" id="{63A3667C-B9B0-64BC-EE04-6184FAFE77B7}"/>
              </a:ext>
            </a:extLst>
          </xdr:cNvPr>
          <xdr:cNvSpPr/>
        </xdr:nvSpPr>
        <xdr:spPr>
          <a:xfrm flipH="1">
            <a:off x="15681325" y="123825"/>
            <a:ext cx="1762124" cy="1847851"/>
          </a:xfrm>
          <a:prstGeom prst="flowChartDelay">
            <a:avLst/>
          </a:prstGeom>
          <a:solidFill>
            <a:schemeClr val="accent6">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6" name="Group 17">
            <a:extLst>
              <a:ext uri="{FF2B5EF4-FFF2-40B4-BE49-F238E27FC236}">
                <a16:creationId xmlns:a16="http://schemas.microsoft.com/office/drawing/2014/main" id="{B9B5B23D-BD7A-AD30-BD70-8C2205639060}"/>
              </a:ext>
            </a:extLst>
          </xdr:cNvPr>
          <xdr:cNvGrpSpPr/>
        </xdr:nvGrpSpPr>
        <xdr:grpSpPr>
          <a:xfrm>
            <a:off x="15824200" y="282575"/>
            <a:ext cx="1463168" cy="1492505"/>
            <a:chOff x="15573375" y="189161"/>
            <a:chExt cx="1463168" cy="1502030"/>
          </a:xfrm>
        </xdr:grpSpPr>
        <xdr:sp macro="" textlink="">
          <xdr:nvSpPr>
            <xdr:cNvPr id="8" name="TextBox 11">
              <a:extLst>
                <a:ext uri="{FF2B5EF4-FFF2-40B4-BE49-F238E27FC236}">
                  <a16:creationId xmlns:a16="http://schemas.microsoft.com/office/drawing/2014/main" id="{4852CB04-0C09-D807-3465-D9795C0D6BD6}"/>
                </a:ext>
              </a:extLst>
            </xdr:cNvPr>
            <xdr:cNvSpPr txBox="1"/>
          </xdr:nvSpPr>
          <xdr:spPr>
            <a:xfrm>
              <a:off x="15573375" y="189161"/>
              <a:ext cx="1463168" cy="4965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b="0" i="1">
                  <a:solidFill>
                    <a:srgbClr val="EBF9F9"/>
                  </a:solidFill>
                  <a:latin typeface="Aptos" panose="020B0004020202020204" pitchFamily="34" charset="0"/>
                </a:rPr>
                <a:t>Calculator </a:t>
              </a:r>
              <a:br>
                <a:rPr lang="en-US" sz="1200" b="0" i="1">
                  <a:solidFill>
                    <a:srgbClr val="EBF9F9"/>
                  </a:solidFill>
                  <a:latin typeface="Aptos" panose="020B0004020202020204" pitchFamily="34" charset="0"/>
                </a:rPr>
              </a:br>
              <a:r>
                <a:rPr lang="en-US" sz="1200" b="0" i="1">
                  <a:solidFill>
                    <a:srgbClr val="EBF9F9"/>
                  </a:solidFill>
                  <a:latin typeface="Aptos" panose="020B0004020202020204" pitchFamily="34" charset="0"/>
                </a:rPr>
                <a:t>developed by</a:t>
              </a:r>
            </a:p>
          </xdr:txBody>
        </xdr:sp>
        <xdr:pic>
          <xdr:nvPicPr>
            <xdr:cNvPr id="10" name="Picture 23">
              <a:extLst>
                <a:ext uri="{FF2B5EF4-FFF2-40B4-BE49-F238E27FC236}">
                  <a16:creationId xmlns:a16="http://schemas.microsoft.com/office/drawing/2014/main" id="{AA2EEBF2-5D03-2C3A-2507-3E086FDD94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857015" y="746125"/>
              <a:ext cx="895889" cy="945066"/>
            </a:xfrm>
            <a:prstGeom prst="rect">
              <a:avLst/>
            </a:prstGeom>
          </xdr:spPr>
        </xdr:pic>
      </xdr:grp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152401</xdr:colOff>
      <xdr:row>1</xdr:row>
      <xdr:rowOff>1263925</xdr:rowOff>
    </xdr:from>
    <xdr:to>
      <xdr:col>1</xdr:col>
      <xdr:colOff>2003426</xdr:colOff>
      <xdr:row>2</xdr:row>
      <xdr:rowOff>325916</xdr:rowOff>
    </xdr:to>
    <xdr:pic>
      <xdr:nvPicPr>
        <xdr:cNvPr id="68" name="Picture 61" descr="Maryland energy administration logo featuring solar panel, building, maryland flag">
          <a:extLst>
            <a:ext uri="{FF2B5EF4-FFF2-40B4-BE49-F238E27FC236}">
              <a16:creationId xmlns:a16="http://schemas.microsoft.com/office/drawing/2014/main" id="{9D6AAC0B-97DD-4ED1-ADC9-2FDF648998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1" y="1387750"/>
          <a:ext cx="4032250" cy="11479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117474</xdr:rowOff>
    </xdr:from>
    <xdr:to>
      <xdr:col>8</xdr:col>
      <xdr:colOff>9524</xdr:colOff>
      <xdr:row>1</xdr:row>
      <xdr:rowOff>1246377</xdr:rowOff>
    </xdr:to>
    <xdr:sp macro="" textlink="">
      <xdr:nvSpPr>
        <xdr:cNvPr id="69" name="TextBox 7">
          <a:extLst>
            <a:ext uri="{FF2B5EF4-FFF2-40B4-BE49-F238E27FC236}">
              <a16:creationId xmlns:a16="http://schemas.microsoft.com/office/drawing/2014/main" id="{FD3FA64D-EB93-4833-AD55-4BA6E9D5A3DF}"/>
            </a:ext>
          </a:extLst>
        </xdr:cNvPr>
        <xdr:cNvSpPr txBox="1"/>
      </xdr:nvSpPr>
      <xdr:spPr>
        <a:xfrm>
          <a:off x="0" y="117474"/>
          <a:ext cx="17459324" cy="12527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3200" b="1" i="0" baseline="0">
              <a:solidFill>
                <a:schemeClr val="dk1"/>
              </a:solidFill>
              <a:effectLst/>
              <a:latin typeface="Aptos" panose="020B0004020202020204" pitchFamily="34" charset="0"/>
              <a:ea typeface="+mn-ea"/>
              <a:cs typeface="+mn-cs"/>
            </a:rPr>
            <a:t>FY27 Commercial &amp; Community Buildings </a:t>
          </a:r>
          <a:br>
            <a:rPr lang="en-US" sz="3200" b="1" i="0" baseline="0">
              <a:solidFill>
                <a:schemeClr val="dk1"/>
              </a:solidFill>
              <a:effectLst/>
              <a:latin typeface="Aptos" panose="020B0004020202020204" pitchFamily="34" charset="0"/>
              <a:ea typeface="+mn-ea"/>
              <a:cs typeface="+mn-cs"/>
            </a:rPr>
          </a:br>
          <a:r>
            <a:rPr lang="en-US" sz="3200" b="1" i="0" baseline="0">
              <a:solidFill>
                <a:schemeClr val="dk1"/>
              </a:solidFill>
              <a:effectLst/>
              <a:latin typeface="Aptos" panose="020B0004020202020204" pitchFamily="34" charset="0"/>
              <a:ea typeface="+mn-ea"/>
              <a:cs typeface="+mn-cs"/>
            </a:rPr>
            <a:t>Program Grant Calculator</a:t>
          </a:r>
          <a:endParaRPr lang="en-US" sz="3200" b="1">
            <a:effectLst/>
            <a:latin typeface="Aptos" panose="020B0004020202020204" pitchFamily="34" charset="0"/>
          </a:endParaRPr>
        </a:p>
      </xdr:txBody>
    </xdr:sp>
    <xdr:clientData/>
  </xdr:twoCellAnchor>
  <xdr:twoCellAnchor>
    <xdr:from>
      <xdr:col>7</xdr:col>
      <xdr:colOff>422275</xdr:colOff>
      <xdr:row>1</xdr:row>
      <xdr:rowOff>809625</xdr:rowOff>
    </xdr:from>
    <xdr:to>
      <xdr:col>8</xdr:col>
      <xdr:colOff>3174</xdr:colOff>
      <xdr:row>3</xdr:row>
      <xdr:rowOff>1</xdr:rowOff>
    </xdr:to>
    <xdr:grpSp>
      <xdr:nvGrpSpPr>
        <xdr:cNvPr id="8" name="Group 4">
          <a:extLst>
            <a:ext uri="{FF2B5EF4-FFF2-40B4-BE49-F238E27FC236}">
              <a16:creationId xmlns:a16="http://schemas.microsoft.com/office/drawing/2014/main" id="{2EBD116E-891C-A303-12BC-BC37FF5DAD1E}"/>
            </a:ext>
          </a:extLst>
        </xdr:cNvPr>
        <xdr:cNvGrpSpPr>
          <a:grpSpLocks noChangeAspect="1"/>
        </xdr:cNvGrpSpPr>
      </xdr:nvGrpSpPr>
      <xdr:grpSpPr>
        <a:xfrm>
          <a:off x="15662275" y="1000125"/>
          <a:ext cx="1758042" cy="1843769"/>
          <a:chOff x="15681325" y="123825"/>
          <a:chExt cx="1762124" cy="1847851"/>
        </a:xfrm>
      </xdr:grpSpPr>
      <xdr:sp macro="" textlink="">
        <xdr:nvSpPr>
          <xdr:cNvPr id="9" name="Flowchart: Delay 4">
            <a:extLst>
              <a:ext uri="{FF2B5EF4-FFF2-40B4-BE49-F238E27FC236}">
                <a16:creationId xmlns:a16="http://schemas.microsoft.com/office/drawing/2014/main" id="{44760A38-776D-4690-8470-5E9D44A3E64E}"/>
              </a:ext>
            </a:extLst>
          </xdr:cNvPr>
          <xdr:cNvSpPr/>
        </xdr:nvSpPr>
        <xdr:spPr>
          <a:xfrm flipH="1">
            <a:off x="15681325" y="123825"/>
            <a:ext cx="1762124" cy="1847851"/>
          </a:xfrm>
          <a:prstGeom prst="flowChartDelay">
            <a:avLst/>
          </a:prstGeom>
          <a:solidFill>
            <a:schemeClr val="accent6">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10" name="Group 17">
            <a:extLst>
              <a:ext uri="{FF2B5EF4-FFF2-40B4-BE49-F238E27FC236}">
                <a16:creationId xmlns:a16="http://schemas.microsoft.com/office/drawing/2014/main" id="{941056E6-51AC-42AA-9D13-4095054828F0}"/>
              </a:ext>
            </a:extLst>
          </xdr:cNvPr>
          <xdr:cNvGrpSpPr/>
        </xdr:nvGrpSpPr>
        <xdr:grpSpPr>
          <a:xfrm>
            <a:off x="15824200" y="282575"/>
            <a:ext cx="1463168" cy="1492505"/>
            <a:chOff x="15573375" y="189161"/>
            <a:chExt cx="1463168" cy="1502030"/>
          </a:xfrm>
        </xdr:grpSpPr>
        <xdr:sp macro="" textlink="">
          <xdr:nvSpPr>
            <xdr:cNvPr id="11" name="TextBox 11">
              <a:extLst>
                <a:ext uri="{FF2B5EF4-FFF2-40B4-BE49-F238E27FC236}">
                  <a16:creationId xmlns:a16="http://schemas.microsoft.com/office/drawing/2014/main" id="{1D360E4E-A78B-C42E-D153-FDDE02F10760}"/>
                </a:ext>
              </a:extLst>
            </xdr:cNvPr>
            <xdr:cNvSpPr txBox="1"/>
          </xdr:nvSpPr>
          <xdr:spPr>
            <a:xfrm>
              <a:off x="15573375" y="189161"/>
              <a:ext cx="1463168" cy="4965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b="0" i="1">
                  <a:solidFill>
                    <a:srgbClr val="EBF9F9"/>
                  </a:solidFill>
                  <a:latin typeface="Aptos" panose="020B0004020202020204" pitchFamily="34" charset="0"/>
                </a:rPr>
                <a:t>Calculator </a:t>
              </a:r>
              <a:br>
                <a:rPr lang="en-US" sz="1200" b="0" i="1">
                  <a:solidFill>
                    <a:srgbClr val="EBF9F9"/>
                  </a:solidFill>
                  <a:latin typeface="Aptos" panose="020B0004020202020204" pitchFamily="34" charset="0"/>
                </a:rPr>
              </a:br>
              <a:r>
                <a:rPr lang="en-US" sz="1200" b="0" i="1">
                  <a:solidFill>
                    <a:srgbClr val="EBF9F9"/>
                  </a:solidFill>
                  <a:latin typeface="Aptos" panose="020B0004020202020204" pitchFamily="34" charset="0"/>
                </a:rPr>
                <a:t>developed by</a:t>
              </a:r>
            </a:p>
          </xdr:txBody>
        </xdr:sp>
        <xdr:pic>
          <xdr:nvPicPr>
            <xdr:cNvPr id="12" name="Picture 23">
              <a:extLst>
                <a:ext uri="{FF2B5EF4-FFF2-40B4-BE49-F238E27FC236}">
                  <a16:creationId xmlns:a16="http://schemas.microsoft.com/office/drawing/2014/main" id="{08E42DB7-1DD4-4FD0-455B-67C687B0971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857015" y="746125"/>
              <a:ext cx="895889" cy="945066"/>
            </a:xfrm>
            <a:prstGeom prst="rect">
              <a:avLst/>
            </a:prstGeom>
          </xdr:spPr>
        </xdr:pic>
      </xdr:grp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119061</xdr:colOff>
      <xdr:row>1</xdr:row>
      <xdr:rowOff>1235350</xdr:rowOff>
    </xdr:from>
    <xdr:to>
      <xdr:col>2</xdr:col>
      <xdr:colOff>95251</xdr:colOff>
      <xdr:row>2</xdr:row>
      <xdr:rowOff>323231</xdr:rowOff>
    </xdr:to>
    <xdr:pic>
      <xdr:nvPicPr>
        <xdr:cNvPr id="57" name="Picture 61" descr="Maryland energy administration logo featuring solar panel, building, maryland flag">
          <a:extLst>
            <a:ext uri="{FF2B5EF4-FFF2-40B4-BE49-F238E27FC236}">
              <a16:creationId xmlns:a16="http://schemas.microsoft.com/office/drawing/2014/main" id="{BBAF7ACC-2984-4B8B-8864-A3F5808C85B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9061" y="1359175"/>
          <a:ext cx="4071940" cy="11738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114300</xdr:rowOff>
    </xdr:from>
    <xdr:to>
      <xdr:col>8</xdr:col>
      <xdr:colOff>9525</xdr:colOff>
      <xdr:row>1</xdr:row>
      <xdr:rowOff>1304925</xdr:rowOff>
    </xdr:to>
    <xdr:sp macro="" textlink="">
      <xdr:nvSpPr>
        <xdr:cNvPr id="3" name="TextBox 2">
          <a:extLst>
            <a:ext uri="{FF2B5EF4-FFF2-40B4-BE49-F238E27FC236}">
              <a16:creationId xmlns:a16="http://schemas.microsoft.com/office/drawing/2014/main" id="{ED610FCB-5C2B-41B9-9CB9-9AD58959CB5E}"/>
            </a:ext>
          </a:extLst>
        </xdr:cNvPr>
        <xdr:cNvSpPr txBox="1"/>
      </xdr:nvSpPr>
      <xdr:spPr>
        <a:xfrm>
          <a:off x="0" y="114300"/>
          <a:ext cx="16392525" cy="1314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3200" b="1" i="0" baseline="0">
              <a:solidFill>
                <a:schemeClr val="dk1"/>
              </a:solidFill>
              <a:effectLst/>
              <a:latin typeface="Aptos" panose="020B0004020202020204" pitchFamily="34" charset="0"/>
              <a:ea typeface="+mn-ea"/>
              <a:cs typeface="+mn-cs"/>
            </a:rPr>
            <a:t>FY27 Commercial &amp; Community Buildings </a:t>
          </a:r>
          <a:br>
            <a:rPr lang="en-US" sz="3200" b="1" i="0" baseline="0">
              <a:solidFill>
                <a:schemeClr val="dk1"/>
              </a:solidFill>
              <a:effectLst/>
              <a:latin typeface="Aptos" panose="020B0004020202020204" pitchFamily="34" charset="0"/>
              <a:ea typeface="+mn-ea"/>
              <a:cs typeface="+mn-cs"/>
            </a:rPr>
          </a:br>
          <a:r>
            <a:rPr lang="en-US" sz="3200" b="1" i="0" baseline="0">
              <a:solidFill>
                <a:schemeClr val="dk1"/>
              </a:solidFill>
              <a:effectLst/>
              <a:latin typeface="Aptos" panose="020B0004020202020204" pitchFamily="34" charset="0"/>
              <a:ea typeface="+mn-ea"/>
              <a:cs typeface="+mn-cs"/>
            </a:rPr>
            <a:t>Program Grant Calculator</a:t>
          </a:r>
        </a:p>
      </xdr:txBody>
    </xdr:sp>
    <xdr:clientData/>
  </xdr:twoCellAnchor>
  <xdr:twoCellAnchor>
    <xdr:from>
      <xdr:col>6</xdr:col>
      <xdr:colOff>2333626</xdr:colOff>
      <xdr:row>1</xdr:row>
      <xdr:rowOff>809627</xdr:rowOff>
    </xdr:from>
    <xdr:to>
      <xdr:col>8</xdr:col>
      <xdr:colOff>0</xdr:colOff>
      <xdr:row>3</xdr:row>
      <xdr:rowOff>3</xdr:rowOff>
    </xdr:to>
    <xdr:grpSp>
      <xdr:nvGrpSpPr>
        <xdr:cNvPr id="7" name="Group 6">
          <a:extLst>
            <a:ext uri="{FF2B5EF4-FFF2-40B4-BE49-F238E27FC236}">
              <a16:creationId xmlns:a16="http://schemas.microsoft.com/office/drawing/2014/main" id="{6DCBF44E-3827-9365-7372-7C059CDFF119}"/>
            </a:ext>
          </a:extLst>
        </xdr:cNvPr>
        <xdr:cNvGrpSpPr>
          <a:grpSpLocks noChangeAspect="1"/>
        </xdr:cNvGrpSpPr>
      </xdr:nvGrpSpPr>
      <xdr:grpSpPr>
        <a:xfrm>
          <a:off x="14634483" y="1013734"/>
          <a:ext cx="1762124" cy="1843769"/>
          <a:chOff x="14620876" y="123827"/>
          <a:chExt cx="1762124" cy="1847851"/>
        </a:xfrm>
      </xdr:grpSpPr>
      <xdr:sp macro="" textlink="">
        <xdr:nvSpPr>
          <xdr:cNvPr id="29" name="Flowchart: Delay 8">
            <a:extLst>
              <a:ext uri="{FF2B5EF4-FFF2-40B4-BE49-F238E27FC236}">
                <a16:creationId xmlns:a16="http://schemas.microsoft.com/office/drawing/2014/main" id="{D7ABAF96-FA3C-4939-A6B7-9A0B8A13B39A}"/>
              </a:ext>
            </a:extLst>
          </xdr:cNvPr>
          <xdr:cNvSpPr/>
        </xdr:nvSpPr>
        <xdr:spPr>
          <a:xfrm flipH="1">
            <a:off x="14620876" y="123827"/>
            <a:ext cx="1762124" cy="1847851"/>
          </a:xfrm>
          <a:prstGeom prst="flowChartDelay">
            <a:avLst/>
          </a:prstGeom>
          <a:solidFill>
            <a:schemeClr val="accent6">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30" name="Group 3">
            <a:extLst>
              <a:ext uri="{FF2B5EF4-FFF2-40B4-BE49-F238E27FC236}">
                <a16:creationId xmlns:a16="http://schemas.microsoft.com/office/drawing/2014/main" id="{2CD07435-D588-41C3-B7D6-2C05CA4208D0}"/>
              </a:ext>
            </a:extLst>
          </xdr:cNvPr>
          <xdr:cNvGrpSpPr/>
        </xdr:nvGrpSpPr>
        <xdr:grpSpPr>
          <a:xfrm>
            <a:off x="14779625" y="250825"/>
            <a:ext cx="1456818" cy="1508380"/>
            <a:chOff x="15573375" y="189161"/>
            <a:chExt cx="1463168" cy="1502030"/>
          </a:xfrm>
        </xdr:grpSpPr>
        <xdr:sp macro="" textlink="">
          <xdr:nvSpPr>
            <xdr:cNvPr id="31" name="TextBox 11">
              <a:extLst>
                <a:ext uri="{FF2B5EF4-FFF2-40B4-BE49-F238E27FC236}">
                  <a16:creationId xmlns:a16="http://schemas.microsoft.com/office/drawing/2014/main" id="{B845B2B4-81B5-5404-A116-7C1FE842B4ED}"/>
                </a:ext>
              </a:extLst>
            </xdr:cNvPr>
            <xdr:cNvSpPr txBox="1"/>
          </xdr:nvSpPr>
          <xdr:spPr>
            <a:xfrm>
              <a:off x="15573375" y="189161"/>
              <a:ext cx="1463168" cy="4965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b="0" i="1">
                  <a:solidFill>
                    <a:srgbClr val="EBF9F9"/>
                  </a:solidFill>
                  <a:latin typeface="Aptos" panose="020B0004020202020204" pitchFamily="34" charset="0"/>
                </a:rPr>
                <a:t>Calculator </a:t>
              </a:r>
              <a:br>
                <a:rPr lang="en-US" sz="1200" b="0" i="1">
                  <a:solidFill>
                    <a:srgbClr val="EBF9F9"/>
                  </a:solidFill>
                  <a:latin typeface="Aptos" panose="020B0004020202020204" pitchFamily="34" charset="0"/>
                </a:rPr>
              </a:br>
              <a:r>
                <a:rPr lang="en-US" sz="1200" b="0" i="1">
                  <a:solidFill>
                    <a:srgbClr val="EBF9F9"/>
                  </a:solidFill>
                  <a:latin typeface="Aptos" panose="020B0004020202020204" pitchFamily="34" charset="0"/>
                </a:rPr>
                <a:t>developed by</a:t>
              </a:r>
            </a:p>
          </xdr:txBody>
        </xdr:sp>
        <xdr:pic>
          <xdr:nvPicPr>
            <xdr:cNvPr id="32" name="Picture 23">
              <a:extLst>
                <a:ext uri="{FF2B5EF4-FFF2-40B4-BE49-F238E27FC236}">
                  <a16:creationId xmlns:a16="http://schemas.microsoft.com/office/drawing/2014/main" id="{11E91113-901C-9BA8-0D7A-AB42EEBFB58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857015" y="746125"/>
              <a:ext cx="895889" cy="945066"/>
            </a:xfrm>
            <a:prstGeom prst="rect">
              <a:avLst/>
            </a:prstGeom>
          </xdr:spPr>
        </xdr:pic>
      </xdr:grpSp>
    </xdr:grpSp>
    <xdr:clientData/>
  </xdr:twoCellAnchor>
</xdr:wsDr>
</file>

<file path=xl/persons/person.xml><?xml version="1.0" encoding="utf-8"?>
<personList xmlns="http://schemas.microsoft.com/office/spreadsheetml/2018/threadedcomments" xmlns:x="http://schemas.openxmlformats.org/spreadsheetml/2006/main">
  <person displayName="Megan Lackay -MEA-" id="{820FE155-0A4F-42AE-B86C-B5D3114A01AA}" userId="S::megan.lackay@maryland.gov::9b703e32-dc5b-4ec7-bb0c-ee04e1a30aa6"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 dT="2026-05-29T14:30:27.22" personId="{820FE155-0A4F-42AE-B86C-B5D3114A01AA}" id="{C0791163-F61A-4D39-B86E-3BF40E077E8D}">
    <text>No more than 100% of total project costs</text>
  </threadedComment>
  <threadedComment ref="C4" dT="2026-05-29T14:30:45.46" personId="{820FE155-0A4F-42AE-B86C-B5D3114A01AA}" id="{A6E3287D-6965-4CF9-A81B-087617C8E1C7}">
    <text>No more than 85% of total project costs</text>
  </threadedComment>
  <threadedComment ref="B11" dT="2026-05-29T14:30:30.99" personId="{820FE155-0A4F-42AE-B86C-B5D3114A01AA}" id="{0927CB55-D6CE-4038-9CD0-7F2DF5878C7D}">
    <text>No more than 100% of total project costs</text>
  </threadedComment>
  <threadedComment ref="C11" dT="2026-05-29T14:30:36.12" personId="{820FE155-0A4F-42AE-B86C-B5D3114A01AA}" id="{17BD6A8E-0296-4068-BAA8-4A7B39660FE2}">
    <text>No more than 100% of total project costs</text>
  </threadedComment>
  <threadedComment ref="D11" dT="2026-05-29T14:30:54.97" personId="{820FE155-0A4F-42AE-B86C-B5D3114A01AA}" id="{C7253BA2-4772-417E-B289-40D834AB7D72}">
    <text>No more than 100% of total project costs</text>
  </threadedComment>
  <threadedComment ref="B18" dT="2026-05-29T14:30:33.50" personId="{820FE155-0A4F-42AE-B86C-B5D3114A01AA}" id="{8239EDF1-A84B-41AF-AA9B-5C08B0384A4D}">
    <text>No more than 100% of total project costs</text>
  </threadedComment>
  <threadedComment ref="C18" dT="2026-05-29T14:30:38.74" personId="{820FE155-0A4F-42AE-B86C-B5D3114A01AA}" id="{114B03A6-E419-4C1C-BFC6-AEC82E93E751}">
    <text>No more than 100% of total project costs</text>
  </threadedComment>
  <threadedComment ref="D18" dT="2026-05-29T14:30:56.94" personId="{820FE155-0A4F-42AE-B86C-B5D3114A01AA}" id="{8D7F52AD-E80E-4315-8533-8F62A2668BD7}">
    <text>No more than 100% of total project costs</text>
  </threadedComment>
  <threadedComment ref="B25" dT="2026-05-29T14:30:27.22" personId="{820FE155-0A4F-42AE-B86C-B5D3114A01AA}" id="{FE618C97-1D3F-4926-B1F4-6E9288DA6EE7}">
    <text>No more than 100% of total project costs</text>
  </threadedComment>
  <threadedComment ref="C25" dT="2026-05-29T14:30:45.46" personId="{820FE155-0A4F-42AE-B86C-B5D3114A01AA}" id="{5421086C-27AA-4DC3-AB58-AC0B40AE991C}">
    <text>No more than 85% of total project costs</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hyperlink" Target="https://portfoliomanager.energystar.gov/pdf/reference/Emissions.pdf" TargetMode="External"/><Relationship Id="rId7" Type="http://schemas.openxmlformats.org/officeDocument/2006/relationships/hyperlink" Target="https://www.eia.gov/state/data.php?sid=MD" TargetMode="External"/><Relationship Id="rId2" Type="http://schemas.openxmlformats.org/officeDocument/2006/relationships/hyperlink" Target="https://www.epa.gov/energy/greenhouse-gas-equivalencies-calculator-calculations-and-references" TargetMode="External"/><Relationship Id="rId1" Type="http://schemas.openxmlformats.org/officeDocument/2006/relationships/hyperlink" Target="https://www.epa.gov/energy/greenhouse-gas-equivalencies-calculator-calculations-and-references" TargetMode="External"/><Relationship Id="rId6" Type="http://schemas.openxmlformats.org/officeDocument/2006/relationships/hyperlink" Target="https://www.eia.gov/state/data.php?sid=MD" TargetMode="External"/><Relationship Id="rId5" Type="http://schemas.openxmlformats.org/officeDocument/2006/relationships/hyperlink" Target="https://www.eia.gov/dnav/pet/hist/LeafHandler.ashx?n=PET&amp;s=W_EPD2F_PWR_SMD_DPG&amp;f=W" TargetMode="External"/><Relationship Id="rId4" Type="http://schemas.openxmlformats.org/officeDocument/2006/relationships/hyperlink" Target="https://corporate.pseg.com/aboutpseg/companyinformation/thepsegfamilyofcompanies/-/media/78023DC5748742028073697ADEDFF2C7.ashx" TargetMode="External"/></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5FF5C-8A0B-422F-9040-CC8BCA052800}">
  <sheetPr>
    <tabColor theme="9" tint="0.79998168889431442"/>
  </sheetPr>
  <dimension ref="A1:H24"/>
  <sheetViews>
    <sheetView showGridLines="0" tabSelected="1" zoomScale="70" zoomScaleNormal="70" workbookViewId="0">
      <selection activeCell="A6" sqref="A6:B6"/>
    </sheetView>
  </sheetViews>
  <sheetFormatPr defaultRowHeight="12.75" x14ac:dyDescent="0.2"/>
  <cols>
    <col min="1" max="1" width="69" customWidth="1"/>
    <col min="2" max="2" width="146.7109375" customWidth="1"/>
  </cols>
  <sheetData>
    <row r="1" spans="1:8" ht="14.25" customHeight="1" x14ac:dyDescent="0.2">
      <c r="A1" s="99"/>
      <c r="B1" s="101"/>
    </row>
    <row r="2" spans="1:8" ht="166.5" customHeight="1" x14ac:dyDescent="0.2">
      <c r="A2" s="145"/>
      <c r="B2" s="146"/>
    </row>
    <row r="3" spans="1:8" s="15" customFormat="1" ht="39.75" customHeight="1" x14ac:dyDescent="0.25">
      <c r="A3" s="236" t="s">
        <v>123</v>
      </c>
      <c r="B3" s="237"/>
      <c r="C3"/>
      <c r="D3"/>
      <c r="E3"/>
      <c r="F3"/>
      <c r="G3"/>
      <c r="H3"/>
    </row>
    <row r="4" spans="1:8" ht="117" customHeight="1" x14ac:dyDescent="0.35">
      <c r="A4" s="234" t="s">
        <v>126</v>
      </c>
      <c r="B4" s="235"/>
    </row>
    <row r="5" spans="1:8" s="13" customFormat="1" ht="13.5" customHeight="1" x14ac:dyDescent="0.25">
      <c r="A5" s="133"/>
      <c r="B5" s="132"/>
      <c r="C5"/>
      <c r="D5"/>
      <c r="E5"/>
      <c r="F5"/>
      <c r="G5"/>
      <c r="H5"/>
    </row>
    <row r="6" spans="1:8" s="164" customFormat="1" ht="43.5" customHeight="1" x14ac:dyDescent="0.2">
      <c r="A6" s="238" t="s">
        <v>73</v>
      </c>
      <c r="B6" s="239"/>
    </row>
    <row r="7" spans="1:8" ht="43.5" customHeight="1" x14ac:dyDescent="0.2">
      <c r="A7" s="162" t="s">
        <v>81</v>
      </c>
      <c r="B7" s="170" t="s">
        <v>41</v>
      </c>
    </row>
    <row r="8" spans="1:8" ht="84" customHeight="1" x14ac:dyDescent="0.2">
      <c r="A8" s="165" t="s">
        <v>82</v>
      </c>
      <c r="B8" s="166" t="s">
        <v>83</v>
      </c>
    </row>
    <row r="9" spans="1:8" ht="84" customHeight="1" x14ac:dyDescent="0.2">
      <c r="A9" s="165" t="s">
        <v>84</v>
      </c>
      <c r="B9" s="166" t="s">
        <v>85</v>
      </c>
    </row>
    <row r="10" spans="1:8" ht="84" customHeight="1" x14ac:dyDescent="0.2">
      <c r="A10" s="165" t="s">
        <v>86</v>
      </c>
      <c r="B10" s="166" t="s">
        <v>127</v>
      </c>
    </row>
    <row r="11" spans="1:8" ht="84" customHeight="1" x14ac:dyDescent="0.2">
      <c r="A11" s="165" t="s">
        <v>87</v>
      </c>
      <c r="B11" s="166" t="s">
        <v>88</v>
      </c>
    </row>
    <row r="12" spans="1:8" ht="84" customHeight="1" x14ac:dyDescent="0.2">
      <c r="A12" s="167" t="s">
        <v>89</v>
      </c>
      <c r="B12" s="168" t="s">
        <v>90</v>
      </c>
    </row>
    <row r="13" spans="1:8" s="13" customFormat="1" ht="13.5" customHeight="1" x14ac:dyDescent="0.25">
      <c r="A13" s="133"/>
      <c r="B13" s="132"/>
      <c r="C13"/>
      <c r="D13"/>
      <c r="E13"/>
      <c r="F13"/>
      <c r="G13"/>
      <c r="H13"/>
    </row>
    <row r="14" spans="1:8" s="163" customFormat="1" ht="43.5" customHeight="1" x14ac:dyDescent="0.35">
      <c r="A14" s="238" t="s">
        <v>121</v>
      </c>
      <c r="B14" s="239"/>
    </row>
    <row r="15" spans="1:8" ht="43.5" customHeight="1" x14ac:dyDescent="0.2">
      <c r="A15" s="162" t="s">
        <v>81</v>
      </c>
      <c r="B15" s="170" t="s">
        <v>41</v>
      </c>
    </row>
    <row r="16" spans="1:8" ht="84" customHeight="1" x14ac:dyDescent="0.2">
      <c r="A16" s="169" t="s">
        <v>91</v>
      </c>
      <c r="B16" s="166" t="s">
        <v>92</v>
      </c>
    </row>
    <row r="17" spans="1:8" ht="84" customHeight="1" x14ac:dyDescent="0.2">
      <c r="A17" s="165" t="s">
        <v>116</v>
      </c>
      <c r="B17" s="166" t="s">
        <v>93</v>
      </c>
    </row>
    <row r="18" spans="1:8" ht="84" customHeight="1" x14ac:dyDescent="0.2">
      <c r="A18" s="165" t="s">
        <v>94</v>
      </c>
      <c r="B18" s="166" t="s">
        <v>95</v>
      </c>
    </row>
    <row r="19" spans="1:8" ht="84" customHeight="1" x14ac:dyDescent="0.2">
      <c r="A19" s="165" t="s">
        <v>96</v>
      </c>
      <c r="B19" s="166" t="s">
        <v>97</v>
      </c>
    </row>
    <row r="20" spans="1:8" ht="84" customHeight="1" x14ac:dyDescent="0.2">
      <c r="A20" s="165" t="s">
        <v>98</v>
      </c>
      <c r="B20" s="166" t="s">
        <v>99</v>
      </c>
    </row>
    <row r="21" spans="1:8" ht="84" customHeight="1" x14ac:dyDescent="0.2">
      <c r="A21" s="167" t="s">
        <v>119</v>
      </c>
      <c r="B21" s="168" t="s">
        <v>100</v>
      </c>
    </row>
    <row r="22" spans="1:8" s="13" customFormat="1" ht="13.5" customHeight="1" x14ac:dyDescent="0.25">
      <c r="A22" s="38"/>
      <c r="B22" s="38"/>
      <c r="C22"/>
      <c r="D22"/>
      <c r="E22"/>
      <c r="F22"/>
      <c r="G22"/>
      <c r="H22"/>
    </row>
    <row r="23" spans="1:8" s="13" customFormat="1" ht="18" customHeight="1" x14ac:dyDescent="0.25">
      <c r="A23" s="28"/>
      <c r="B23" s="28"/>
      <c r="C23"/>
      <c r="D23"/>
      <c r="E23"/>
      <c r="F23"/>
      <c r="G23"/>
      <c r="H23"/>
    </row>
    <row r="24" spans="1:8" s="13" customFormat="1" ht="7.5" customHeight="1" x14ac:dyDescent="0.25">
      <c r="A24" s="39"/>
      <c r="B24" s="39"/>
      <c r="C24"/>
      <c r="D24"/>
      <c r="E24"/>
      <c r="F24"/>
      <c r="G24"/>
      <c r="H24"/>
    </row>
  </sheetData>
  <sheetProtection algorithmName="SHA-512" hashValue="jlPfWDd3zXzQZBL1Hl+gyiqvqrRm1FfPvaNTh+pVYeIX7q0x53/WKX2R8kmAVy84r6f4HQTb/zR/eKKEcAQvtA==" saltValue="BukcLMr4ehPFNhOrHGjVrQ==" spinCount="100000" sheet="1" objects="1" scenarios="1"/>
  <mergeCells count="4">
    <mergeCell ref="A4:B4"/>
    <mergeCell ref="A3:B3"/>
    <mergeCell ref="A6:B6"/>
    <mergeCell ref="A14:B1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7AFE7-A0E7-4E66-8FC4-C34062F0A7BF}">
  <sheetPr>
    <tabColor rgb="FFFFC000"/>
    <pageSetUpPr autoPageBreaks="0"/>
  </sheetPr>
  <dimension ref="A1:P51"/>
  <sheetViews>
    <sheetView showGridLines="0" zoomScale="70" zoomScaleNormal="70" workbookViewId="0">
      <selection activeCell="B7" sqref="B7"/>
    </sheetView>
  </sheetViews>
  <sheetFormatPr defaultColWidth="9.140625" defaultRowHeight="13.5" x14ac:dyDescent="0.25"/>
  <cols>
    <col min="1" max="8" width="32.7109375" style="13" customWidth="1"/>
    <col min="9" max="9" width="15.7109375" style="13" customWidth="1"/>
    <col min="10" max="10" width="33.7109375" style="13" customWidth="1"/>
    <col min="11" max="17" width="15.7109375" style="13" customWidth="1"/>
    <col min="18" max="16384" width="9.140625" style="13"/>
  </cols>
  <sheetData>
    <row r="1" spans="1:16" customFormat="1" ht="15" customHeight="1" x14ac:dyDescent="0.2">
      <c r="A1" s="99"/>
      <c r="B1" s="100"/>
      <c r="C1" s="100"/>
      <c r="D1" s="100"/>
      <c r="E1" s="100"/>
      <c r="F1" s="100"/>
      <c r="G1" s="100"/>
      <c r="H1" s="101"/>
    </row>
    <row r="2" spans="1:16" ht="164.25" customHeight="1" x14ac:dyDescent="1.2">
      <c r="A2" s="96"/>
      <c r="B2" s="97"/>
      <c r="C2" s="97"/>
      <c r="D2" s="97"/>
      <c r="E2" s="97"/>
      <c r="F2" s="97"/>
      <c r="G2" s="97"/>
      <c r="H2" s="161" t="b" cm="1">
        <f t="array" ref="H2">SUM(--ISNUMBER(SEARCH("Solar",_xlfn.TAKE(Active_ECMs,,$F$9))))&gt;0</f>
        <v>0</v>
      </c>
    </row>
    <row r="3" spans="1:16" s="15" customFormat="1" ht="45.6" customHeight="1" x14ac:dyDescent="0.25">
      <c r="A3" s="228" t="s">
        <v>73</v>
      </c>
      <c r="B3" s="229"/>
      <c r="C3" s="229"/>
      <c r="D3" s="229"/>
      <c r="E3" s="229"/>
      <c r="F3" s="229"/>
      <c r="G3" s="229"/>
      <c r="H3" s="230"/>
    </row>
    <row r="4" spans="1:16" ht="13.5" customHeight="1" x14ac:dyDescent="0.25">
      <c r="A4" s="20"/>
      <c r="B4" s="21"/>
      <c r="C4" s="20"/>
      <c r="D4" s="21"/>
      <c r="E4" s="20"/>
      <c r="F4" s="21"/>
      <c r="G4" s="20"/>
      <c r="H4" s="160"/>
    </row>
    <row r="5" spans="1:16" ht="35.1" customHeight="1" x14ac:dyDescent="0.4">
      <c r="A5" s="16" t="s">
        <v>74</v>
      </c>
      <c r="B5" s="17"/>
      <c r="C5" s="17"/>
      <c r="D5" s="17"/>
      <c r="E5" s="17"/>
      <c r="F5" s="17"/>
      <c r="G5" s="17"/>
      <c r="H5" s="18"/>
      <c r="P5" s="14"/>
    </row>
    <row r="6" spans="1:16" ht="35.1" customHeight="1" x14ac:dyDescent="0.25">
      <c r="A6" s="114" t="s">
        <v>114</v>
      </c>
      <c r="B6" s="115"/>
      <c r="C6" s="115"/>
      <c r="D6" s="115"/>
      <c r="E6" s="115"/>
      <c r="F6" s="115"/>
      <c r="G6" s="115"/>
      <c r="H6" s="116"/>
      <c r="P6" s="14"/>
    </row>
    <row r="7" spans="1:16" ht="54.95" customHeight="1" x14ac:dyDescent="0.25">
      <c r="A7" s="175" t="s">
        <v>38</v>
      </c>
      <c r="B7" s="206"/>
      <c r="C7" s="176" t="s">
        <v>0</v>
      </c>
      <c r="D7" s="206"/>
      <c r="E7" s="176" t="s">
        <v>39</v>
      </c>
      <c r="F7" s="206"/>
      <c r="G7" s="176" t="s">
        <v>45</v>
      </c>
      <c r="H7" s="210"/>
    </row>
    <row r="8" spans="1:16" ht="13.5" customHeight="1" x14ac:dyDescent="0.25">
      <c r="A8" s="103"/>
      <c r="B8" s="21"/>
      <c r="C8" s="20"/>
      <c r="D8" s="21"/>
      <c r="E8" s="20"/>
      <c r="F8" s="21"/>
      <c r="G8" s="106"/>
      <c r="H8" s="107"/>
    </row>
    <row r="9" spans="1:16" ht="68.25" customHeight="1" x14ac:dyDescent="0.25">
      <c r="A9" s="175" t="s">
        <v>30</v>
      </c>
      <c r="B9" s="206"/>
      <c r="C9" s="176" t="s">
        <v>43</v>
      </c>
      <c r="D9" s="208"/>
      <c r="E9" s="176" t="s">
        <v>40</v>
      </c>
      <c r="F9" s="206"/>
      <c r="G9" s="108"/>
      <c r="H9" s="143"/>
    </row>
    <row r="10" spans="1:16" ht="13.5" customHeight="1" x14ac:dyDescent="0.25">
      <c r="A10" s="104"/>
      <c r="B10" s="21"/>
      <c r="C10" s="20"/>
      <c r="D10" s="22"/>
      <c r="E10" s="20"/>
      <c r="F10" s="21"/>
      <c r="G10" s="102"/>
      <c r="H10" s="144"/>
    </row>
    <row r="11" spans="1:16" ht="84.95" customHeight="1" x14ac:dyDescent="0.25">
      <c r="A11" s="175" t="s">
        <v>139</v>
      </c>
      <c r="B11" s="207" t="s">
        <v>72</v>
      </c>
      <c r="C11" s="177" t="s">
        <v>140</v>
      </c>
      <c r="D11" s="209" t="s">
        <v>72</v>
      </c>
      <c r="E11" s="177" t="s">
        <v>141</v>
      </c>
      <c r="F11" s="209" t="s">
        <v>72</v>
      </c>
      <c r="G11" s="177" t="s">
        <v>142</v>
      </c>
      <c r="H11" s="207" t="s">
        <v>72</v>
      </c>
    </row>
    <row r="12" spans="1:16" ht="13.5" customHeight="1" x14ac:dyDescent="0.25">
      <c r="A12" s="112"/>
      <c r="B12" s="113"/>
      <c r="C12" s="106"/>
      <c r="D12" s="113"/>
      <c r="E12" s="106"/>
      <c r="F12" s="113"/>
      <c r="G12" s="20"/>
      <c r="H12" s="142"/>
    </row>
    <row r="13" spans="1:16" ht="84.95" customHeight="1" x14ac:dyDescent="0.25">
      <c r="A13" s="85"/>
      <c r="B13" s="86"/>
      <c r="C13" s="109"/>
      <c r="D13" s="110"/>
      <c r="E13" s="111"/>
      <c r="F13" s="111"/>
      <c r="G13" s="178" t="s">
        <v>105</v>
      </c>
      <c r="H13" s="211"/>
    </row>
    <row r="14" spans="1:16" ht="13.5" customHeight="1" x14ac:dyDescent="0.25">
      <c r="A14" s="117"/>
      <c r="B14" s="118"/>
      <c r="C14" s="106"/>
      <c r="D14" s="119"/>
      <c r="E14" s="106"/>
      <c r="F14" s="118"/>
      <c r="G14" s="106"/>
      <c r="H14" s="120"/>
    </row>
    <row r="15" spans="1:16" ht="35.1" customHeight="1" x14ac:dyDescent="0.4">
      <c r="A15" s="16" t="s">
        <v>75</v>
      </c>
      <c r="B15" s="121"/>
      <c r="C15" s="121"/>
      <c r="D15" s="122"/>
      <c r="E15" s="121"/>
      <c r="F15" s="121"/>
      <c r="G15" s="121"/>
      <c r="H15" s="123"/>
    </row>
    <row r="16" spans="1:16" ht="35.1" customHeight="1" x14ac:dyDescent="0.25">
      <c r="A16" s="124" t="s">
        <v>76</v>
      </c>
      <c r="B16" s="19"/>
      <c r="C16" s="19"/>
      <c r="D16" s="19"/>
      <c r="E16" s="19"/>
      <c r="F16" s="19"/>
      <c r="G16" s="19"/>
      <c r="H16" s="125"/>
    </row>
    <row r="17" spans="1:8" ht="13.5" customHeight="1" x14ac:dyDescent="0.25">
      <c r="A17" s="126"/>
      <c r="B17" s="127"/>
      <c r="C17" s="128"/>
      <c r="D17" s="129"/>
      <c r="E17" s="128"/>
      <c r="F17" s="127"/>
      <c r="G17" s="128"/>
      <c r="H17" s="130"/>
    </row>
    <row r="18" spans="1:8" ht="54.95" customHeight="1" x14ac:dyDescent="0.25">
      <c r="A18" s="179" t="s">
        <v>1</v>
      </c>
      <c r="B18" s="211"/>
      <c r="C18" s="178" t="s">
        <v>2</v>
      </c>
      <c r="D18" s="211"/>
      <c r="E18" s="178" t="s">
        <v>34</v>
      </c>
      <c r="F18" s="211"/>
      <c r="G18" s="178" t="s">
        <v>3</v>
      </c>
      <c r="H18" s="212"/>
    </row>
    <row r="19" spans="1:8" ht="13.5" customHeight="1" x14ac:dyDescent="0.25">
      <c r="A19" s="131"/>
      <c r="B19" s="132"/>
      <c r="C19" s="133"/>
      <c r="D19" s="134"/>
      <c r="E19" s="133"/>
      <c r="F19" s="132"/>
      <c r="G19" s="133"/>
      <c r="H19" s="135"/>
    </row>
    <row r="20" spans="1:8" ht="35.1" customHeight="1" x14ac:dyDescent="0.4">
      <c r="A20" s="16" t="s">
        <v>77</v>
      </c>
      <c r="B20" s="180"/>
      <c r="C20" s="180"/>
      <c r="D20" s="180"/>
      <c r="E20" s="180"/>
      <c r="F20" s="180"/>
      <c r="G20" s="180"/>
      <c r="H20" s="181"/>
    </row>
    <row r="21" spans="1:8" ht="35.1" customHeight="1" x14ac:dyDescent="0.25">
      <c r="A21" s="114" t="s">
        <v>78</v>
      </c>
      <c r="B21" s="115"/>
      <c r="C21" s="115"/>
      <c r="D21" s="115"/>
      <c r="E21" s="115"/>
      <c r="F21" s="115"/>
      <c r="G21" s="115"/>
      <c r="H21" s="182"/>
    </row>
    <row r="22" spans="1:8" ht="36.75" customHeight="1" x14ac:dyDescent="0.25">
      <c r="A22" s="183" t="s">
        <v>128</v>
      </c>
      <c r="B22" s="184" t="s">
        <v>129</v>
      </c>
      <c r="C22" s="183" t="s">
        <v>130</v>
      </c>
      <c r="D22" s="184" t="s">
        <v>131</v>
      </c>
      <c r="E22" s="183" t="s">
        <v>132</v>
      </c>
      <c r="F22" s="184" t="s">
        <v>133</v>
      </c>
      <c r="G22" s="183" t="s">
        <v>134</v>
      </c>
      <c r="H22" s="184" t="s">
        <v>133</v>
      </c>
    </row>
    <row r="23" spans="1:8" ht="13.5" customHeight="1" x14ac:dyDescent="0.25">
      <c r="A23" s="104"/>
      <c r="B23" s="21"/>
      <c r="C23" s="20"/>
      <c r="D23" s="22"/>
      <c r="E23" s="20"/>
      <c r="F23" s="21"/>
      <c r="G23" s="20"/>
      <c r="H23" s="105"/>
    </row>
    <row r="24" spans="1:8" ht="62.1" customHeight="1" x14ac:dyDescent="0.25">
      <c r="A24" s="175" t="str">
        <f>IF($B$11="[Select an ECM from the dropdown list]",
"",
$A$11&amp;" "&amp;$B$11
)</f>
        <v/>
      </c>
      <c r="B24" s="213"/>
      <c r="C24" s="175" t="str">
        <f>$A$24</f>
        <v/>
      </c>
      <c r="D24" s="213"/>
      <c r="E24" s="175" t="str">
        <f>$A$24</f>
        <v/>
      </c>
      <c r="F24" s="213"/>
      <c r="G24" s="175" t="str">
        <f>$A$24</f>
        <v/>
      </c>
      <c r="H24" s="214"/>
    </row>
    <row r="25" spans="1:8" ht="13.5" customHeight="1" x14ac:dyDescent="0.25">
      <c r="A25" s="183"/>
      <c r="B25" s="23"/>
      <c r="C25" s="185"/>
      <c r="D25" s="23"/>
      <c r="E25" s="185"/>
      <c r="F25" s="23"/>
      <c r="G25" s="185"/>
      <c r="H25" s="171"/>
    </row>
    <row r="26" spans="1:8" ht="62.1" customHeight="1" x14ac:dyDescent="0.25">
      <c r="A26" s="175" t="str">
        <f>IF($D$11="[Select an ECM from the dropdown list]",
"",
$C$11&amp;" "&amp;$D$11
)</f>
        <v/>
      </c>
      <c r="B26" s="213"/>
      <c r="C26" s="175" t="str">
        <f>$A$26</f>
        <v/>
      </c>
      <c r="D26" s="213"/>
      <c r="E26" s="175" t="str">
        <f>$A$26</f>
        <v/>
      </c>
      <c r="F26" s="213"/>
      <c r="G26" s="175" t="str">
        <f>$A$26</f>
        <v/>
      </c>
      <c r="H26" s="214"/>
    </row>
    <row r="27" spans="1:8" ht="13.5" customHeight="1" x14ac:dyDescent="0.25">
      <c r="A27" s="183"/>
      <c r="B27" s="23"/>
      <c r="C27" s="185"/>
      <c r="D27" s="23"/>
      <c r="E27" s="185"/>
      <c r="F27" s="23"/>
      <c r="G27" s="185"/>
      <c r="H27" s="171"/>
    </row>
    <row r="28" spans="1:8" ht="62.1" customHeight="1" x14ac:dyDescent="0.25">
      <c r="A28" s="175" t="str">
        <f>IF($F$11="[Select an ECM from the dropdown list]",
"",
$E$11&amp;" "&amp;$F$11
)</f>
        <v/>
      </c>
      <c r="B28" s="213"/>
      <c r="C28" s="175" t="str">
        <f>$A$28</f>
        <v/>
      </c>
      <c r="D28" s="213"/>
      <c r="E28" s="175" t="str">
        <f>$A$28</f>
        <v/>
      </c>
      <c r="F28" s="213"/>
      <c r="G28" s="175" t="str">
        <f>$A$28</f>
        <v/>
      </c>
      <c r="H28" s="214"/>
    </row>
    <row r="29" spans="1:8" ht="13.5" customHeight="1" x14ac:dyDescent="0.25">
      <c r="A29" s="183"/>
      <c r="B29" s="23"/>
      <c r="C29" s="185"/>
      <c r="D29" s="23"/>
      <c r="E29" s="185"/>
      <c r="F29" s="23"/>
      <c r="G29" s="185"/>
      <c r="H29" s="171"/>
    </row>
    <row r="30" spans="1:8" ht="62.1" customHeight="1" x14ac:dyDescent="0.25">
      <c r="A30" s="179" t="str">
        <f>IF($H$11="[Select an ECM from the dropdown list]",
"",
$G$11&amp;" "&amp;$H$11
)</f>
        <v/>
      </c>
      <c r="B30" s="215"/>
      <c r="C30" s="179" t="str">
        <f>$A$30</f>
        <v/>
      </c>
      <c r="D30" s="215"/>
      <c r="E30" s="179" t="str">
        <f>$A$30</f>
        <v/>
      </c>
      <c r="F30" s="215"/>
      <c r="G30" s="179" t="str">
        <f>$A$30</f>
        <v/>
      </c>
      <c r="H30" s="212"/>
    </row>
    <row r="31" spans="1:8" ht="13.5" customHeight="1" x14ac:dyDescent="0.25">
      <c r="A31" s="117"/>
      <c r="B31" s="118"/>
      <c r="C31" s="106"/>
      <c r="D31" s="119"/>
      <c r="E31" s="106"/>
      <c r="F31" s="118"/>
      <c r="G31" s="106"/>
      <c r="H31" s="120"/>
    </row>
    <row r="32" spans="1:8" ht="35.1" customHeight="1" x14ac:dyDescent="0.4">
      <c r="A32" s="16" t="s">
        <v>79</v>
      </c>
      <c r="B32" s="121"/>
      <c r="C32" s="121"/>
      <c r="D32" s="122"/>
      <c r="E32" s="121"/>
      <c r="F32" s="121"/>
      <c r="G32" s="121"/>
      <c r="H32" s="123"/>
    </row>
    <row r="33" spans="1:8" ht="35.1" customHeight="1" x14ac:dyDescent="0.25">
      <c r="A33" s="124" t="s">
        <v>80</v>
      </c>
      <c r="B33" s="19"/>
      <c r="C33" s="19"/>
      <c r="D33" s="19"/>
      <c r="E33" s="19"/>
      <c r="F33" s="19"/>
      <c r="G33" s="19"/>
      <c r="H33" s="125"/>
    </row>
    <row r="34" spans="1:8" ht="13.5" customHeight="1" x14ac:dyDescent="0.25">
      <c r="A34" s="104"/>
      <c r="B34" s="21"/>
      <c r="C34" s="20"/>
      <c r="D34" s="22"/>
      <c r="E34" s="20"/>
      <c r="F34" s="21"/>
      <c r="G34" s="20"/>
      <c r="H34" s="105"/>
    </row>
    <row r="35" spans="1:8" ht="62.1" customHeight="1" x14ac:dyDescent="0.25">
      <c r="A35" s="175" t="str">
        <f>$A$24</f>
        <v/>
      </c>
      <c r="B35" s="216"/>
      <c r="C35" s="186" t="str">
        <f>$A$26</f>
        <v/>
      </c>
      <c r="D35" s="217"/>
      <c r="E35" s="175" t="str">
        <f>$A$28</f>
        <v/>
      </c>
      <c r="F35" s="218"/>
      <c r="G35" s="186" t="str">
        <f>$A$30</f>
        <v/>
      </c>
      <c r="H35" s="219"/>
    </row>
    <row r="36" spans="1:8" ht="13.5" customHeight="1" x14ac:dyDescent="0.25">
      <c r="A36" s="112"/>
      <c r="B36" s="136"/>
      <c r="C36" s="106"/>
      <c r="D36" s="136"/>
      <c r="E36" s="106"/>
      <c r="F36" s="136"/>
      <c r="G36" s="20"/>
      <c r="H36" s="137"/>
    </row>
    <row r="37" spans="1:8" ht="54.95" customHeight="1" x14ac:dyDescent="0.25">
      <c r="A37" s="85"/>
      <c r="B37" s="86"/>
      <c r="C37" s="109"/>
      <c r="D37" s="138"/>
      <c r="E37" s="111"/>
      <c r="F37" s="139"/>
      <c r="G37" s="178" t="s">
        <v>18</v>
      </c>
      <c r="H37" s="220"/>
    </row>
    <row r="38" spans="1:8" ht="13.5" customHeight="1" x14ac:dyDescent="0.25">
      <c r="A38" s="131"/>
      <c r="B38" s="132"/>
      <c r="C38" s="133"/>
      <c r="D38" s="134"/>
      <c r="E38" s="133"/>
      <c r="F38" s="132"/>
      <c r="G38" s="133"/>
      <c r="H38" s="135"/>
    </row>
    <row r="39" spans="1:8" ht="35.1" customHeight="1" x14ac:dyDescent="0.4">
      <c r="A39" s="221" t="s">
        <v>120</v>
      </c>
      <c r="B39" s="222"/>
      <c r="C39" s="222"/>
      <c r="D39" s="222"/>
      <c r="E39" s="222"/>
      <c r="F39" s="222"/>
      <c r="G39" s="222"/>
      <c r="H39" s="223"/>
    </row>
    <row r="40" spans="1:8" ht="35.1" customHeight="1" x14ac:dyDescent="0.25">
      <c r="A40" s="224" t="s">
        <v>122</v>
      </c>
      <c r="B40" s="225"/>
      <c r="C40" s="226"/>
      <c r="D40" s="226"/>
      <c r="E40" s="226"/>
      <c r="F40" s="226"/>
      <c r="G40" s="226"/>
      <c r="H40" s="227"/>
    </row>
    <row r="41" spans="1:8" ht="13.5" customHeight="1" x14ac:dyDescent="0.25">
      <c r="A41" s="104"/>
      <c r="B41" s="21"/>
      <c r="C41" s="20"/>
      <c r="D41" s="22"/>
      <c r="E41" s="20"/>
      <c r="F41" s="21"/>
      <c r="G41" s="20"/>
      <c r="H41" s="105"/>
    </row>
    <row r="42" spans="1:8" ht="80.099999999999994" customHeight="1" x14ac:dyDescent="0.25">
      <c r="A42" s="173" t="s">
        <v>44</v>
      </c>
      <c r="B42" s="35">
        <f>IF('User Inputs'!$F$9="",0,
SUM(
'User Inputs'!$B$35,
IF('User Inputs'!$F$9&gt;=2,'User Inputs'!$D$35,0),
IF('User Inputs'!$F$9&gt;=3,'User Inputs'!$F$35,0),
IF('User Inputs'!$F$9&gt;=4,'User Inputs'!$H$35,0)
))</f>
        <v>0</v>
      </c>
      <c r="C42" s="172" t="s">
        <v>4</v>
      </c>
      <c r="D42" s="36">
        <f>'Calculated Metrics'!$H$17</f>
        <v>0</v>
      </c>
      <c r="E42" s="172" t="s">
        <v>25</v>
      </c>
      <c r="F42" s="37">
        <f>'Calculated Metrics'!$H$21</f>
        <v>0</v>
      </c>
      <c r="G42" s="187" t="s">
        <v>124</v>
      </c>
      <c r="H42" s="188">
        <f>'Calculated Metrics'!$H$25</f>
        <v>0</v>
      </c>
    </row>
    <row r="43" spans="1:8" ht="13.5" customHeight="1" x14ac:dyDescent="0.25">
      <c r="A43" s="140"/>
      <c r="B43" s="24"/>
      <c r="C43" s="25"/>
      <c r="D43" s="24"/>
      <c r="E43" s="26"/>
      <c r="F43" s="27"/>
      <c r="G43" s="26"/>
      <c r="H43" s="159"/>
    </row>
    <row r="44" spans="1:8" ht="80.099999999999994" customHeight="1" x14ac:dyDescent="0.25">
      <c r="A44" s="231" t="str">
        <f>IF('User Inputs'!$B$9="Commercial","",
IF(OR('User Inputs'!$H$44="",'User Inputs'!$H$44=0),"",
IF('User Inputs'!$H$44&gt;3000,
"ECM cost per kW exceeds the MEA rate cap of $3,000/kW. Reduce project cost or increase system kW to lower the cost per kW.",
"ECM cost per kW is within the MEA rate cap of $3,000/kW."
)))</f>
        <v/>
      </c>
      <c r="B44" s="232"/>
      <c r="C44" s="232"/>
      <c r="D44" s="232"/>
      <c r="E44" s="232"/>
      <c r="F44" s="233"/>
      <c r="G44" s="174" t="s">
        <v>117</v>
      </c>
      <c r="H44" s="141" cm="1">
        <f t="array" ref="H44">IF('User Inputs'!$B$9="Commercial","",
IF(OR('User Inputs'!$F$9="",$H$13=0),0,
_xlfn.LET(
    _xlpm.cats,_xlfn.HSTACK(
        'User Inputs'!$B$11,
        'User Inputs'!$D$11,
        'User Inputs'!$F$11,
        'User Inputs'!$H$11
    ),
    _xlpm.vals,_xlfn.HSTACK(
        $B$35,
        $D$35,
        $F$35,
        $H$35
    ),
    _xlpm.n,MIN(--'User Inputs'!$F$9,COLUMNS(_xlpm.cats)),
    _xlpm.solar_sum,
        SUM(
            _xlfn.MAP(
                _xlfn.TAKE(_xlpm.cats,,_xlpm.n),
                _xlfn.TAKE(_xlpm.vals,,_xlpm.n),
                _xlfn.LAMBDA(_xlpm.c,_xlpm.v,
                    IF(ISNUMBER(SEARCH("Solar",_xlpm.c)),_xlpm.v,0)
                )
            )
        ),
    IF(_xlpm.solar_sum=0,0,_xlpm.solar_sum/$H$13)
)))</f>
        <v>0</v>
      </c>
    </row>
    <row r="45" spans="1:8" ht="13.5" customHeight="1" x14ac:dyDescent="0.25">
      <c r="A45" s="38"/>
      <c r="B45" s="38"/>
      <c r="C45" s="38"/>
      <c r="D45" s="38"/>
      <c r="E45" s="38"/>
      <c r="F45" s="38"/>
      <c r="G45" s="38"/>
      <c r="H45" s="38"/>
    </row>
    <row r="46" spans="1:8" ht="18" customHeight="1" x14ac:dyDescent="0.25">
      <c r="A46" s="28"/>
      <c r="B46" s="28"/>
      <c r="C46" s="28"/>
      <c r="D46" s="28"/>
      <c r="E46" s="28"/>
      <c r="F46" s="28"/>
      <c r="G46" s="28"/>
      <c r="H46" s="28"/>
    </row>
    <row r="47" spans="1:8" ht="7.5" customHeight="1" x14ac:dyDescent="0.25">
      <c r="A47" s="39"/>
      <c r="B47" s="39"/>
      <c r="C47" s="39"/>
      <c r="D47" s="39"/>
      <c r="E47" s="39"/>
      <c r="F47" s="39"/>
      <c r="G47" s="39"/>
      <c r="H47" s="39"/>
    </row>
    <row r="48" spans="1:8" ht="54.75" customHeight="1" x14ac:dyDescent="0.25">
      <c r="D48" s="155"/>
    </row>
    <row r="51" ht="69.95" customHeight="1" x14ac:dyDescent="0.25"/>
  </sheetData>
  <sheetProtection algorithmName="SHA-512" hashValue="R8I02e5NGtce9K5CbFZk40yebQOwBwTQ3QUQmUMfs4kJMqH5fZNem1qDagIEoubBkUII3ihtGT5iT2d0Xs7S4A==" saltValue="QZGEhMu+yonqy3k5jrMZ9g==" spinCount="100000" sheet="1" objects="1" scenarios="1"/>
  <mergeCells count="4">
    <mergeCell ref="A39:H39"/>
    <mergeCell ref="A40:H40"/>
    <mergeCell ref="A3:H3"/>
    <mergeCell ref="A44:F44"/>
  </mergeCells>
  <conditionalFormatting sqref="A44">
    <cfRule type="expression" dxfId="102" priority="351">
      <formula>$H$44&gt;3000</formula>
    </cfRule>
    <cfRule type="expression" dxfId="101" priority="350">
      <formula>$H$44&lt;=3000</formula>
    </cfRule>
  </conditionalFormatting>
  <conditionalFormatting sqref="A11:B11">
    <cfRule type="expression" dxfId="100" priority="97">
      <formula>$F$9&lt;1</formula>
    </cfRule>
  </conditionalFormatting>
  <conditionalFormatting sqref="A35:B35">
    <cfRule type="expression" dxfId="99" priority="3">
      <formula>$F$9&lt;1</formula>
    </cfRule>
  </conditionalFormatting>
  <conditionalFormatting sqref="A24:G24">
    <cfRule type="expression" dxfId="98" priority="6">
      <formula>$F$9&lt;1</formula>
    </cfRule>
  </conditionalFormatting>
  <conditionalFormatting sqref="A26:G26 C11:D11">
    <cfRule type="expression" dxfId="97" priority="56">
      <formula>$F$9&lt;2</formula>
    </cfRule>
  </conditionalFormatting>
  <conditionalFormatting sqref="A28:G28 E35:F35">
    <cfRule type="expression" dxfId="96" priority="1">
      <formula>$F$9&lt;3</formula>
    </cfRule>
  </conditionalFormatting>
  <conditionalFormatting sqref="A26:H26">
    <cfRule type="expression" dxfId="95" priority="54">
      <formula>$F$9&gt;=2</formula>
    </cfRule>
  </conditionalFormatting>
  <conditionalFormatting sqref="A30:H30 H35">
    <cfRule type="expression" dxfId="94" priority="34">
      <formula>$F$9&gt;=4</formula>
    </cfRule>
    <cfRule type="expression" dxfId="93" priority="35">
      <formula>$F$9&lt;4</formula>
    </cfRule>
  </conditionalFormatting>
  <conditionalFormatting sqref="A44:H44 G13:H13">
    <cfRule type="expression" dxfId="92" priority="323">
      <formula>NOT($H$2)</formula>
    </cfRule>
  </conditionalFormatting>
  <conditionalFormatting sqref="A44:H44">
    <cfRule type="expression" dxfId="91" priority="9">
      <formula>$B$9="Commercial"</formula>
    </cfRule>
  </conditionalFormatting>
  <conditionalFormatting sqref="B11">
    <cfRule type="expression" dxfId="90" priority="277">
      <formula>$B$11="[Select an ECM from the dropdown list]"</formula>
    </cfRule>
    <cfRule type="expression" dxfId="89" priority="216">
      <formula>$F$9&gt;=1</formula>
    </cfRule>
  </conditionalFormatting>
  <conditionalFormatting sqref="B18">
    <cfRule type="containsBlanks" dxfId="88" priority="328">
      <formula>LEN(TRIM(B18))=0</formula>
    </cfRule>
  </conditionalFormatting>
  <conditionalFormatting sqref="B24">
    <cfRule type="expression" dxfId="87" priority="60">
      <formula>$F$9&gt;=1</formula>
    </cfRule>
  </conditionalFormatting>
  <conditionalFormatting sqref="B26 B30 B24 B28">
    <cfRule type="containsBlanks" dxfId="86" priority="354">
      <formula>LEN(TRIM(B24))=0</formula>
    </cfRule>
  </conditionalFormatting>
  <conditionalFormatting sqref="B26">
    <cfRule type="expression" dxfId="85" priority="52">
      <formula>$F$9&gt;=2</formula>
    </cfRule>
  </conditionalFormatting>
  <conditionalFormatting sqref="B28">
    <cfRule type="expression" dxfId="84" priority="46">
      <formula>$F$9&gt;=3</formula>
    </cfRule>
  </conditionalFormatting>
  <conditionalFormatting sqref="B30">
    <cfRule type="expression" dxfId="83" priority="33">
      <formula>$F$9&gt;=4</formula>
    </cfRule>
  </conditionalFormatting>
  <conditionalFormatting sqref="B35">
    <cfRule type="expression" dxfId="82" priority="4">
      <formula>$F$9&gt;=1</formula>
    </cfRule>
    <cfRule type="containsBlanks" dxfId="81" priority="5">
      <formula>LEN(TRIM(B35))=0</formula>
    </cfRule>
  </conditionalFormatting>
  <conditionalFormatting sqref="C35:D35">
    <cfRule type="expression" dxfId="80" priority="146">
      <formula>$F$9&lt;2</formula>
    </cfRule>
    <cfRule type="expression" dxfId="79" priority="23">
      <formula>$F$9&gt;=2</formula>
    </cfRule>
  </conditionalFormatting>
  <conditionalFormatting sqref="D11">
    <cfRule type="expression" dxfId="78" priority="284">
      <formula>$D$11="[Select an ECM from the dropdown list]"</formula>
    </cfRule>
    <cfRule type="expression" dxfId="77" priority="96">
      <formula>$F$9&gt;=2</formula>
    </cfRule>
  </conditionalFormatting>
  <conditionalFormatting sqref="D18">
    <cfRule type="containsBlanks" dxfId="76" priority="329">
      <formula>LEN(TRIM(D18))=0</formula>
    </cfRule>
  </conditionalFormatting>
  <conditionalFormatting sqref="D24">
    <cfRule type="containsBlanks" dxfId="75" priority="333">
      <formula>LEN(TRIM(D24))=0</formula>
    </cfRule>
    <cfRule type="expression" dxfId="74" priority="59">
      <formula>$F$9&gt;=1</formula>
    </cfRule>
  </conditionalFormatting>
  <conditionalFormatting sqref="D26">
    <cfRule type="containsBlanks" dxfId="73" priority="215">
      <formula>LEN(TRIM(D26))=0</formula>
    </cfRule>
    <cfRule type="expression" dxfId="72" priority="51">
      <formula>$F$9&gt;=2</formula>
    </cfRule>
  </conditionalFormatting>
  <conditionalFormatting sqref="D28">
    <cfRule type="expression" dxfId="71" priority="44">
      <formula>$F$9&gt;=3</formula>
    </cfRule>
    <cfRule type="containsBlanks" dxfId="70" priority="45">
      <formula>LEN(TRIM(D28))=0</formula>
    </cfRule>
  </conditionalFormatting>
  <conditionalFormatting sqref="D30">
    <cfRule type="containsBlanks" dxfId="69" priority="139">
      <formula>LEN(TRIM(D30))=0</formula>
    </cfRule>
    <cfRule type="expression" dxfId="68" priority="31">
      <formula>$F$9&gt;=4</formula>
    </cfRule>
  </conditionalFormatting>
  <conditionalFormatting sqref="D35 H35 F35 B7 D7 B9 D9 H37">
    <cfRule type="containsBlanks" dxfId="67" priority="147">
      <formula>LEN(TRIM(B7))=0</formula>
    </cfRule>
  </conditionalFormatting>
  <conditionalFormatting sqref="D35">
    <cfRule type="expression" dxfId="66" priority="2">
      <formula>$F$9&gt;=2</formula>
    </cfRule>
    <cfRule type="expression" dxfId="65" priority="111">
      <formula>$F$9&gt;=2</formula>
    </cfRule>
  </conditionalFormatting>
  <conditionalFormatting sqref="E11:F11">
    <cfRule type="expression" dxfId="64" priority="214">
      <formula>$F$9&lt;3</formula>
    </cfRule>
  </conditionalFormatting>
  <conditionalFormatting sqref="F7 F9">
    <cfRule type="containsBlanks" dxfId="63" priority="325">
      <formula>LEN(TRIM(F7))=0</formula>
    </cfRule>
  </conditionalFormatting>
  <conditionalFormatting sqref="F11">
    <cfRule type="expression" dxfId="62" priority="285">
      <formula>$F$11="[Select an ECM from the dropdown list]"</formula>
    </cfRule>
    <cfRule type="expression" dxfId="61" priority="95">
      <formula>$F$9&gt;=3</formula>
    </cfRule>
  </conditionalFormatting>
  <conditionalFormatting sqref="F18">
    <cfRule type="containsBlanks" dxfId="60" priority="330">
      <formula>LEN(TRIM(F18))=0</formula>
    </cfRule>
  </conditionalFormatting>
  <conditionalFormatting sqref="F24">
    <cfRule type="expression" dxfId="59" priority="58">
      <formula>$F$9&gt;=1</formula>
    </cfRule>
    <cfRule type="containsBlanks" dxfId="58" priority="334">
      <formula>LEN(TRIM(F24))=0</formula>
    </cfRule>
  </conditionalFormatting>
  <conditionalFormatting sqref="F26">
    <cfRule type="containsBlanks" dxfId="57" priority="61">
      <formula>LEN(TRIM(F26))=0</formula>
    </cfRule>
    <cfRule type="expression" dxfId="56" priority="48">
      <formula>$F$9&gt;=2</formula>
    </cfRule>
  </conditionalFormatting>
  <conditionalFormatting sqref="F28">
    <cfRule type="containsBlanks" dxfId="55" priority="42">
      <formula>LEN(TRIM(F28))=0</formula>
    </cfRule>
    <cfRule type="expression" dxfId="54" priority="41">
      <formula>$F$9&gt;=3</formula>
    </cfRule>
  </conditionalFormatting>
  <conditionalFormatting sqref="F30">
    <cfRule type="expression" dxfId="53" priority="30">
      <formula>$F$9&gt;=4</formula>
    </cfRule>
    <cfRule type="containsBlanks" dxfId="52" priority="138">
      <formula>LEN(TRIM(F30))=0</formula>
    </cfRule>
  </conditionalFormatting>
  <conditionalFormatting sqref="F35">
    <cfRule type="expression" dxfId="51" priority="324">
      <formula>$F$9&gt;=3</formula>
    </cfRule>
  </conditionalFormatting>
  <conditionalFormatting sqref="G13">
    <cfRule type="expression" dxfId="50" priority="63">
      <formula>$F$9=""</formula>
    </cfRule>
    <cfRule type="expression" dxfId="49" priority="316">
      <formula>COUNTIF(B11:T11,"*Solar*")=0</formula>
    </cfRule>
  </conditionalFormatting>
  <conditionalFormatting sqref="G35">
    <cfRule type="expression" dxfId="48" priority="12">
      <formula>$F$9&lt;4</formula>
    </cfRule>
    <cfRule type="expression" dxfId="47" priority="11">
      <formula>$F$9&gt;=4</formula>
    </cfRule>
  </conditionalFormatting>
  <conditionalFormatting sqref="G11:H11">
    <cfRule type="expression" dxfId="46" priority="213">
      <formula>$F$9&lt;4</formula>
    </cfRule>
  </conditionalFormatting>
  <conditionalFormatting sqref="G44:H44 A44">
    <cfRule type="expression" dxfId="45" priority="16">
      <formula>$B$9="Commercial"</formula>
    </cfRule>
  </conditionalFormatting>
  <conditionalFormatting sqref="H7">
    <cfRule type="containsBlanks" dxfId="44" priority="326">
      <formula>LEN(TRIM(H7))=0</formula>
    </cfRule>
  </conditionalFormatting>
  <conditionalFormatting sqref="H11">
    <cfRule type="expression" dxfId="43" priority="94">
      <formula>$F$9&gt;=4</formula>
    </cfRule>
    <cfRule type="expression" dxfId="42" priority="286">
      <formula>$H$11="[Select an ECM from the dropdown list]"</formula>
    </cfRule>
  </conditionalFormatting>
  <conditionalFormatting sqref="H13">
    <cfRule type="expression" dxfId="41" priority="64">
      <formula>$F$9=""</formula>
    </cfRule>
    <cfRule type="expression" dxfId="40" priority="317">
      <formula>COUNTIF(B11:T11,"*Solar*")=0</formula>
    </cfRule>
    <cfRule type="containsBlanks" dxfId="39" priority="327">
      <formula>LEN(TRIM(H13))=0</formula>
    </cfRule>
  </conditionalFormatting>
  <conditionalFormatting sqref="H18">
    <cfRule type="containsBlanks" dxfId="38" priority="331">
      <formula>LEN(TRIM(H18))=0</formula>
    </cfRule>
  </conditionalFormatting>
  <conditionalFormatting sqref="H24">
    <cfRule type="expression" dxfId="37" priority="57">
      <formula>$F$9&gt;=1</formula>
    </cfRule>
    <cfRule type="expression" dxfId="36" priority="8">
      <formula>$F$9&lt;1</formula>
    </cfRule>
  </conditionalFormatting>
  <conditionalFormatting sqref="H26 H24">
    <cfRule type="containsBlanks" dxfId="35" priority="335">
      <formula>LEN(TRIM(H24))=0</formula>
    </cfRule>
  </conditionalFormatting>
  <conditionalFormatting sqref="H26">
    <cfRule type="expression" dxfId="34" priority="47">
      <formula>$F$9&gt;=2</formula>
    </cfRule>
    <cfRule type="expression" dxfId="33" priority="55">
      <formula>$F$9&lt;2</formula>
    </cfRule>
    <cfRule type="containsBlanks" dxfId="32" priority="352">
      <formula>LEN(TRIM(H26))=0</formula>
    </cfRule>
  </conditionalFormatting>
  <conditionalFormatting sqref="H28">
    <cfRule type="expression" dxfId="31" priority="36">
      <formula>$F$9&lt;3</formula>
    </cfRule>
    <cfRule type="expression" dxfId="30" priority="37">
      <formula>$F$9&gt;=3</formula>
    </cfRule>
    <cfRule type="containsBlanks" dxfId="29" priority="38">
      <formula>LEN(TRIM(H28))=0</formula>
    </cfRule>
  </conditionalFormatting>
  <conditionalFormatting sqref="H30">
    <cfRule type="expression" dxfId="28" priority="26">
      <formula>$F$9&gt;=4</formula>
    </cfRule>
    <cfRule type="containsBlanks" dxfId="27" priority="27">
      <formula>LEN(TRIM(H30))=0</formula>
    </cfRule>
    <cfRule type="containsBlanks" dxfId="26" priority="339">
      <formula>LEN(TRIM(H30))=0</formula>
    </cfRule>
    <cfRule type="expression" dxfId="25" priority="25">
      <formula>$F$9&lt;4</formula>
    </cfRule>
  </conditionalFormatting>
  <conditionalFormatting sqref="H35">
    <cfRule type="expression" dxfId="24" priority="21">
      <formula>$F$9&gt;=4</formula>
    </cfRule>
    <cfRule type="expression" dxfId="23" priority="15">
      <formula>$F$9&lt;4</formula>
    </cfRule>
  </conditionalFormatting>
  <conditionalFormatting sqref="H44">
    <cfRule type="expression" dxfId="22" priority="71">
      <formula>AND($H$44&gt;0,$H$44&lt;3000)</formula>
    </cfRule>
    <cfRule type="expression" dxfId="21" priority="17">
      <formula>$H$44&gt;3000</formula>
    </cfRule>
    <cfRule type="expression" dxfId="20" priority="10">
      <formula>$B$9="Commercial"</formula>
    </cfRule>
  </conditionalFormatting>
  <dataValidations count="2">
    <dataValidation type="list" allowBlank="1" showInputMessage="1" showErrorMessage="1" sqref="F9" xr:uid="{DA77679B-7DA2-4C1A-9636-9EB0678089CC}">
      <formula1>"1,2,3,4"</formula1>
    </dataValidation>
    <dataValidation type="list" errorStyle="warning" showInputMessage="1" sqref="B9" xr:uid="{B7B200C4-08A5-4E4A-8DB3-3AAABC619677}">
      <formula1>"Commercial, Non-Profit, Local Government, K-12 Public School, K-12 Public School - Under Enough Act"</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DA93BA1-4EB9-4817-9D85-B2F0B9AAECF6}">
          <x14:formula1>
            <xm:f>Lookups!$B$19:$B$31</xm:f>
          </x14:formula1>
          <xm:sqref>F11 H11 B11 D11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83973-EF09-4AF9-91C3-18632FD5153C}">
  <sheetPr>
    <tabColor rgb="FFFFC000"/>
    <pageSetUpPr autoPageBreaks="0"/>
  </sheetPr>
  <dimension ref="A1:J40"/>
  <sheetViews>
    <sheetView showGridLines="0" topLeftCell="A20" zoomScale="70" zoomScaleNormal="70" workbookViewId="0">
      <selection activeCell="B7" sqref="B7"/>
    </sheetView>
  </sheetViews>
  <sheetFormatPr defaultColWidth="9.140625" defaultRowHeight="24" x14ac:dyDescent="0.4"/>
  <cols>
    <col min="1" max="2" width="30.7109375" style="13" customWidth="1"/>
    <col min="3" max="3" width="38.7109375" style="13" customWidth="1"/>
    <col min="4" max="4" width="22.7109375" style="13" customWidth="1"/>
    <col min="5" max="5" width="38.7109375" style="13" customWidth="1"/>
    <col min="6" max="6" width="22.7109375" style="13" customWidth="1"/>
    <col min="7" max="7" width="38.7109375" style="13" customWidth="1"/>
    <col min="8" max="8" width="22.7109375" style="13" customWidth="1"/>
    <col min="9" max="9" width="15.7109375" style="13" customWidth="1"/>
    <col min="10" max="10" width="15.7109375" style="34" customWidth="1"/>
    <col min="11" max="17" width="15.7109375" style="13" customWidth="1"/>
    <col min="18" max="16384" width="9.140625" style="13"/>
  </cols>
  <sheetData>
    <row r="1" spans="1:10" ht="15.75" customHeight="1" x14ac:dyDescent="0.4">
      <c r="A1" s="93"/>
      <c r="B1" s="94"/>
      <c r="C1" s="94"/>
      <c r="D1" s="94"/>
      <c r="E1" s="94"/>
      <c r="F1" s="94"/>
      <c r="G1" s="94"/>
      <c r="H1" s="95"/>
    </row>
    <row r="2" spans="1:10" ht="164.25" customHeight="1" x14ac:dyDescent="1.2">
      <c r="A2" s="96"/>
      <c r="B2" s="97"/>
      <c r="C2" s="97"/>
      <c r="D2" s="97"/>
      <c r="E2" s="97"/>
      <c r="F2" s="97"/>
      <c r="G2" s="97"/>
      <c r="H2" s="98"/>
    </row>
    <row r="3" spans="1:10" s="15" customFormat="1" ht="45.6" customHeight="1" x14ac:dyDescent="0.25">
      <c r="A3" s="228" t="s">
        <v>121</v>
      </c>
      <c r="B3" s="229"/>
      <c r="C3" s="229"/>
      <c r="D3" s="229"/>
      <c r="E3" s="229"/>
      <c r="F3" s="229"/>
      <c r="G3" s="229"/>
      <c r="H3" s="230"/>
      <c r="J3" s="43"/>
    </row>
    <row r="4" spans="1:10" ht="13.5" customHeight="1" x14ac:dyDescent="0.4">
      <c r="A4" s="58"/>
      <c r="B4" s="53"/>
      <c r="C4" s="47"/>
      <c r="D4" s="53"/>
      <c r="E4" s="47"/>
      <c r="F4" s="53"/>
      <c r="G4" s="47"/>
      <c r="H4" s="53"/>
    </row>
    <row r="5" spans="1:10" s="15" customFormat="1" ht="39.950000000000003" customHeight="1" x14ac:dyDescent="0.4">
      <c r="A5" s="55" t="s">
        <v>101</v>
      </c>
      <c r="B5" s="56"/>
      <c r="C5" s="56"/>
      <c r="D5" s="56"/>
      <c r="E5" s="56"/>
      <c r="F5" s="56"/>
      <c r="G5" s="56"/>
      <c r="H5" s="57"/>
      <c r="J5" s="42"/>
    </row>
    <row r="6" spans="1:10" ht="13.5" customHeight="1" x14ac:dyDescent="0.4">
      <c r="A6" s="58"/>
      <c r="B6" s="53"/>
      <c r="C6" s="47"/>
      <c r="D6" s="53"/>
      <c r="E6" s="47"/>
      <c r="F6" s="53"/>
      <c r="G6" s="47"/>
      <c r="H6" s="48"/>
    </row>
    <row r="7" spans="1:10" ht="54.95" customHeight="1" x14ac:dyDescent="0.4">
      <c r="A7" s="59" t="s">
        <v>1</v>
      </c>
      <c r="B7" s="51">
        <f>IF('User Inputs'!$F$9="",0,
'User Inputs'!$B$18-
SUM(
    'User Inputs'!$B$24,
    IF('User Inputs'!$F$9&gt;=2,'User Inputs'!$B$26,0),
    IF('User Inputs'!$F$9&gt;=3,'User Inputs'!$B$28,0),
    IF('User Inputs'!$F$9&gt;=4,'User Inputs'!$B$30,0)
))</f>
        <v>0</v>
      </c>
      <c r="C7" s="33" t="s">
        <v>2</v>
      </c>
      <c r="D7" s="51">
        <f>IF('User Inputs'!$F$9="",0,
'User Inputs'!$D$18-
SUM(
    'User Inputs'!$D$24,
    IF('User Inputs'!$F$9&gt;=2,'User Inputs'!$D$26,0),
    IF('User Inputs'!$F$9&gt;=3,'User Inputs'!$D$28,0),
    IF('User Inputs'!$F$9&gt;=4,'User Inputs'!$D$30,0)
))</f>
        <v>0</v>
      </c>
      <c r="E7" s="33" t="s">
        <v>34</v>
      </c>
      <c r="F7" s="51">
        <f>IF('User Inputs'!$F$9="",0,
'User Inputs'!$F$18-
SUM(
    'User Inputs'!$F$24,
    IF('User Inputs'!$F$9&gt;=2,'User Inputs'!$F$26,0),
    IF('User Inputs'!$F$9&gt;=3,'User Inputs'!$F$28,0),
    IF('User Inputs'!$F$9&gt;=4,'User Inputs'!$F$30,0)
))</f>
        <v>0</v>
      </c>
      <c r="G7" s="33" t="s">
        <v>3</v>
      </c>
      <c r="H7" s="60">
        <f>IF('User Inputs'!$F$9="",0,
'User Inputs'!$H$18-
SUM(
    'User Inputs'!$H$24,
    IF('User Inputs'!$F$9&gt;=2,'User Inputs'!$H$26,0),
    IF('User Inputs'!$F$9&gt;=3,'User Inputs'!$H$28,0),
    IF('User Inputs'!$F$9&gt;=4,'User Inputs'!$H$30,0)
))</f>
        <v>0</v>
      </c>
    </row>
    <row r="8" spans="1:10" ht="13.5" customHeight="1" x14ac:dyDescent="0.4">
      <c r="A8" s="66"/>
      <c r="B8" s="52"/>
      <c r="C8" s="47"/>
      <c r="D8" s="53"/>
      <c r="E8" s="47"/>
      <c r="F8" s="53"/>
      <c r="G8" s="47"/>
      <c r="H8" s="50"/>
    </row>
    <row r="9" spans="1:10" ht="39.950000000000003" customHeight="1" x14ac:dyDescent="0.4">
      <c r="A9" s="62" t="s">
        <v>115</v>
      </c>
      <c r="B9" s="63"/>
      <c r="C9" s="63"/>
      <c r="D9" s="63"/>
      <c r="E9" s="63"/>
      <c r="F9" s="63"/>
      <c r="G9" s="63"/>
      <c r="H9" s="64"/>
      <c r="J9" s="40"/>
    </row>
    <row r="10" spans="1:10" ht="13.5" customHeight="1" x14ac:dyDescent="0.4">
      <c r="A10" s="58"/>
      <c r="B10" s="53"/>
      <c r="C10" s="47"/>
      <c r="D10" s="53"/>
      <c r="E10" s="47"/>
      <c r="F10" s="53"/>
      <c r="G10" s="47"/>
      <c r="H10" s="48"/>
    </row>
    <row r="11" spans="1:10" ht="60" customHeight="1" x14ac:dyDescent="0.4">
      <c r="A11" s="61"/>
      <c r="B11" s="46"/>
      <c r="C11" s="46"/>
      <c r="D11" s="49"/>
      <c r="E11" s="46"/>
      <c r="F11" s="49"/>
      <c r="G11" s="70" t="s">
        <v>44</v>
      </c>
      <c r="H11" s="79">
        <f>IF('User Inputs'!$F$9="",0,
SUM(
'User Inputs'!$B$35,
IF('User Inputs'!$F$9&gt;=2,'User Inputs'!$D$35,0),
IF('User Inputs'!$F$9&gt;=3,'User Inputs'!$F$35,0),
IF('User Inputs'!$F$9&gt;=4,'User Inputs'!$H$35,0)
))</f>
        <v>0</v>
      </c>
    </row>
    <row r="12" spans="1:10" ht="13.5" customHeight="1" x14ac:dyDescent="0.4">
      <c r="A12" s="61"/>
      <c r="B12" s="49"/>
      <c r="C12" s="46"/>
      <c r="D12" s="49"/>
      <c r="E12" s="46"/>
      <c r="F12" s="49"/>
      <c r="G12" s="46"/>
      <c r="H12" s="49"/>
    </row>
    <row r="13" spans="1:10" ht="39.950000000000003" customHeight="1" x14ac:dyDescent="0.4">
      <c r="A13" s="62" t="s">
        <v>102</v>
      </c>
      <c r="B13" s="63"/>
      <c r="C13" s="63"/>
      <c r="D13" s="63"/>
      <c r="E13" s="63"/>
      <c r="F13" s="63"/>
      <c r="G13" s="63"/>
      <c r="H13" s="64"/>
    </row>
    <row r="14" spans="1:10" ht="13.5" customHeight="1" x14ac:dyDescent="0.4">
      <c r="A14" s="58"/>
      <c r="B14" s="53"/>
      <c r="C14" s="47"/>
      <c r="D14" s="53"/>
      <c r="E14" s="47"/>
      <c r="F14" s="53"/>
      <c r="G14" s="47"/>
      <c r="H14" s="48"/>
    </row>
    <row r="15" spans="1:10" ht="37.5" customHeight="1" x14ac:dyDescent="0.4">
      <c r="A15" s="59" t="s">
        <v>36</v>
      </c>
      <c r="B15" s="51">
        <f>IF('User Inputs'!$F$9="",0,'User Inputs'!B18-'Calculated Metrics'!B7)</f>
        <v>0</v>
      </c>
      <c r="C15" s="33" t="s">
        <v>14</v>
      </c>
      <c r="D15" s="51">
        <f>IF('User Inputs'!$F$9="",0,'User Inputs'!D18-'Calculated Metrics'!D7)</f>
        <v>0</v>
      </c>
      <c r="E15" s="33" t="s">
        <v>35</v>
      </c>
      <c r="F15" s="51">
        <f>IF('User Inputs'!$F$9="",0,'User Inputs'!F18-'Calculated Metrics'!F7)</f>
        <v>0</v>
      </c>
      <c r="G15" s="33" t="s">
        <v>15</v>
      </c>
      <c r="H15" s="60">
        <f>IF('User Inputs'!$F$9="",0,'User Inputs'!H18-'Calculated Metrics'!H7)</f>
        <v>0</v>
      </c>
    </row>
    <row r="16" spans="1:10" ht="13.5" customHeight="1" x14ac:dyDescent="0.4">
      <c r="A16" s="66"/>
      <c r="B16" s="44"/>
      <c r="C16" s="47"/>
      <c r="D16" s="31"/>
      <c r="E16" s="47"/>
      <c r="F16" s="31"/>
      <c r="G16" s="83"/>
      <c r="H16" s="84"/>
    </row>
    <row r="17" spans="1:8" ht="60" customHeight="1" x14ac:dyDescent="0.4">
      <c r="A17" s="85"/>
      <c r="B17" s="86"/>
      <c r="C17" s="46"/>
      <c r="D17" s="45"/>
      <c r="E17" s="46"/>
      <c r="F17" s="80"/>
      <c r="G17" s="81" t="s">
        <v>4</v>
      </c>
      <c r="H17" s="82">
        <f>IF('User Inputs'!$F$9="",0,
(('User Inputs'!$B$18*Lookups!$D$12)+('User Inputs'!$D$18*Lookups!$D$13)+('User Inputs'!$F$18*Lookups!$D$14)+('User Inputs'!$H$18*Lookups!$D$15))
-
(('Calculated Metrics'!B7*Lookups!$D$12)+('Calculated Metrics'!D7*Lookups!$D$13)+('Calculated Metrics'!F7*Lookups!$D$14)+('Calculated Metrics'!H7*Lookups!$D$15))
)</f>
        <v>0</v>
      </c>
    </row>
    <row r="18" spans="1:8" ht="13.5" customHeight="1" x14ac:dyDescent="0.4">
      <c r="A18" s="61"/>
      <c r="B18" s="49"/>
      <c r="C18" s="46"/>
      <c r="D18" s="49"/>
      <c r="E18" s="46"/>
      <c r="F18" s="49"/>
      <c r="G18" s="46"/>
      <c r="H18" s="49"/>
    </row>
    <row r="19" spans="1:8" ht="39.950000000000003" customHeight="1" x14ac:dyDescent="0.4">
      <c r="A19" s="62" t="s">
        <v>103</v>
      </c>
      <c r="B19" s="63"/>
      <c r="C19" s="63"/>
      <c r="D19" s="63"/>
      <c r="E19" s="63"/>
      <c r="F19" s="63"/>
      <c r="G19" s="63"/>
      <c r="H19" s="64"/>
    </row>
    <row r="20" spans="1:8" ht="13.5" customHeight="1" x14ac:dyDescent="0.4">
      <c r="A20" s="147"/>
      <c r="B20" s="148"/>
      <c r="C20" s="149"/>
      <c r="D20" s="148"/>
      <c r="E20" s="149"/>
      <c r="F20" s="148"/>
      <c r="G20" s="149"/>
      <c r="H20" s="150"/>
    </row>
    <row r="21" spans="1:8" ht="54" customHeight="1" x14ac:dyDescent="0.4">
      <c r="A21" s="33" t="s">
        <v>55</v>
      </c>
      <c r="B21" s="41" cm="1">
        <f t="array" ref="B21">IF('User Inputs'!$F$9="",0,
_xlfn.LET(
    _xlpm.isE, _xlfn.LAMBDA(_xlpm.x, IF(_xlpm.x="",0,--(_xlfn.XLOOKUP(_xlpm.x,Lookups!$B$20:$B$31,Lookups!$D$20:$D$31,"")="Electrification"))),
    _xlpm.cats, _xlfn.HSTACK(
        'User Inputs'!$B$11,
        'User Inputs'!$D$11,
        'User Inputs'!$F$11,
        'User Inputs'!$H$11
    ),
    _xlpm.vals, _xlfn.HSTACK(
        'User Inputs'!$B$35,
        'User Inputs'!$D$35,
        'User Inputs'!$F$35,
        'User Inputs'!$H$35
    ),
    _xlpm.n, MIN(--'User Inputs'!$F$9, COLUMNS(_xlpm.cats)),
    SUM(
        _xlfn.MAP(
            _xlfn.TAKE(_xlpm.cats,,_xlpm.n),
            _xlfn.TAKE(_xlpm.vals,,_xlpm.n),
            _xlfn.LAMBDA(_xlpm.c,_xlpm.v,_xlpm.isE(_xlpm.c)*_xlpm.v)
        )
    )
))</f>
        <v>0</v>
      </c>
      <c r="C21" s="33" t="s">
        <v>56</v>
      </c>
      <c r="D21" s="41" cm="1">
        <f t="array" ref="D21">IF('User Inputs'!$F$9="",0,
_xlfn.LET(
    _xlpm.isEE, _xlfn.LAMBDA(_xlpm.x, IF(_xlpm.x="",0,--(_xlfn.XLOOKUP(_xlpm.x,Lookups!$B$20:$B$31,Lookups!$D$20:$D$31,"")="Energy Efficiency"))),
    _xlpm.cats, _xlfn.HSTACK(
        'User Inputs'!$B$11,
        'User Inputs'!$D$11,
        'User Inputs'!$F$11,
        'User Inputs'!$H$11
    ),
    _xlpm.vals, _xlfn.HSTACK(
        'User Inputs'!$B$35,
        'User Inputs'!$D$35,
        'User Inputs'!$F$35,
        'User Inputs'!$H$35
    ),
    _xlpm.n, MIN(--'User Inputs'!$F$9, COLUMNS(_xlpm.cats)),
    SUM(
        _xlfn.MAP(
            _xlfn.TAKE(_xlpm.cats,,_xlpm.n),
            _xlfn.TAKE(_xlpm.vals,,_xlpm.n),
            _xlfn.LAMBDA(_xlpm.c,_xlpm.v,_xlpm.isEE(_xlpm.c)*_xlpm.v)
        )
    )
))</f>
        <v>0</v>
      </c>
      <c r="E21" s="33" t="s">
        <v>57</v>
      </c>
      <c r="F21" s="41" cm="1">
        <f t="array" ref="F21">IF(OR('User Inputs'!$F$9="",'User Inputs'!$B$9="Commercial"),0,
_xlfn.LET(
    _xlpm.isS, _xlfn.LAMBDA(_xlpm.x, IF(_xlpm.x="",0,--(_xlfn.XLOOKUP(_xlpm.x,Lookups!$B$20:$B$31,Lookups!$D$20:$D$31,"")="Solar"))),
    _xlpm.cats, _xlfn.HSTACK(
        'User Inputs'!$B$11,
        'User Inputs'!$D$11,
        'User Inputs'!$F$11,
        'User Inputs'!$H$11
    ),
    _xlpm.vals, _xlfn.HSTACK(
        'User Inputs'!$B$35,
        'User Inputs'!$D$35,
        'User Inputs'!$F$35,
        'User Inputs'!$H$35
    ),
    _xlpm.n, MIN(--'User Inputs'!$F$9, COLUMNS(_xlpm.cats)),
    SUM(
        _xlfn.MAP(
            _xlfn.TAKE(_xlpm.cats,,_xlpm.n),
            _xlfn.TAKE(_xlpm.vals,,_xlpm.n),
            _xlfn.LAMBDA(_xlpm.c,_xlpm.v,_xlpm.isS(_xlpm.c)*_xlpm.v)
        )
    )
))</f>
        <v>0</v>
      </c>
      <c r="G21" s="151" t="s">
        <v>25</v>
      </c>
      <c r="H21" s="152">
        <f>IF('User Inputs'!$B$42=0,0,'User Inputs'!$B$42/'Calculated Metrics'!$H$17)</f>
        <v>0</v>
      </c>
    </row>
    <row r="22" spans="1:8" ht="13.5" customHeight="1" x14ac:dyDescent="0.4">
      <c r="A22" s="153"/>
      <c r="B22" s="32"/>
      <c r="C22" s="29"/>
      <c r="D22" s="32"/>
      <c r="E22" s="29"/>
      <c r="F22" s="32"/>
      <c r="G22" s="29"/>
      <c r="H22" s="154"/>
    </row>
    <row r="23" spans="1:8" ht="69.75" customHeight="1" x14ac:dyDescent="0.4">
      <c r="A23" s="33" t="s">
        <v>58</v>
      </c>
      <c r="B23" s="41">
        <f>IF(OR($B$21=0,$B$21=""),0,
IFERROR(
SUM(
IF('User Inputs'!$B$9="Commercial",
    IFERROR(INDEX('MEA Incentives'!$B$4:$D$4,MATCH("Electrification",'MEA Incentives'!$B$3:$D$3,0)),0),
0)
+
IF('User Inputs'!$B$9="Non-Profit",
    IFERROR(INDEX('MEA Incentives'!$B$25:$D$25,MATCH("Electrification",'MEA Incentives'!$B$24:$D$24,0)),0),
0)
+
IF(ISNUMBER(SEARCH("K-12",'User Inputs'!$B$9)),
    IFERROR(INDEX('MEA Incentives'!$B$11:$D$11,MATCH("Electrification",'MEA Incentives'!$B$10:$D$10,0)),0),
0)
+
IF('User Inputs'!$B$9="Local Government",
    IFERROR(INDEX('MEA Incentives'!$B$18:$D$18,MATCH("Electrification",'MEA Incentives'!$B$17:$D$17,0)),0),
0)
),
0))</f>
        <v>0</v>
      </c>
      <c r="C23" s="33" t="s">
        <v>59</v>
      </c>
      <c r="D23" s="41">
        <f>IF(OR($D$21=0,$D$21=""),0,
IFERROR(
SUM(
IF('User Inputs'!$B$9="Commercial",
    IFERROR(INDEX('MEA Incentives'!$B$4:$D$4,MATCH("Energy Efficiency",'MEA Incentives'!$B$3:$D$3,0)),0),
0)
+
IF('User Inputs'!$B$9="Non-Profit",
    IFERROR(INDEX('MEA Incentives'!$B$25:$D$25,MATCH("Energy Efficiency",'MEA Incentives'!$B$24:$D$24,0)),0),
0)
+
IF(ISNUMBER(SEARCH("K-12",'User Inputs'!$B$9)),
    IFERROR(INDEX('MEA Incentives'!$B$11:$D$11,MATCH("Energy Efficiency",'MEA Incentives'!$B$10:$D$10,0)),0),
0)
+
IF('User Inputs'!$B$9="Local Government",
    IFERROR(INDEX('MEA Incentives'!$B$18:$D$18,MATCH("Energy Efficiency",'MEA Incentives'!$B$17:$D$17,0)),0),
0)
),
0))</f>
        <v>0</v>
      </c>
      <c r="E23" s="33" t="s">
        <v>60</v>
      </c>
      <c r="F23" s="41">
        <f>IF(OR($F$21=0,$F$21=""),0,
IFERROR(
SUM(
IF('User Inputs'!$B$9="Commercial",
    IFERROR(INDEX('MEA Incentives'!$B$4:$D$4,MATCH("Solar",'MEA Incentives'!$B$3:$D$3,0)),0),
0)
+
IF('User Inputs'!$B$9="Non-Profit",
    IFERROR(INDEX('MEA Incentives'!$B$25:$D$25,MATCH("Solar",'MEA Incentives'!$B$24:$D$24,0)),0),
0)
+
IF(ISNUMBER(SEARCH("K-12",'User Inputs'!$B$9)),
    IFERROR(INDEX('MEA Incentives'!$B$11:$D$11,MATCH("Solar",'MEA Incentives'!$B$10:$D$10,0)),0),
0)
+
IF('User Inputs'!$B$9="Local Government",
    IFERROR(INDEX('MEA Incentives'!$B$18:$D$18,MATCH("Solar",'MEA Incentives'!$B$17:$D$17,0)),0),
0)
),
0))</f>
        <v>0</v>
      </c>
      <c r="G23" s="88" t="s">
        <v>42</v>
      </c>
      <c r="H23" s="152">
        <f>IF('User Inputs'!$F$9="",0,
IFERROR(
    ('User Inputs'!$B$42-'User Inputs'!$H$37)/'Calculated Metrics'!$H$17,
    0
))</f>
        <v>0</v>
      </c>
    </row>
    <row r="24" spans="1:8" ht="13.5" customHeight="1" x14ac:dyDescent="0.4">
      <c r="A24" s="153"/>
      <c r="B24" s="32"/>
      <c r="C24" s="29"/>
      <c r="D24" s="32"/>
      <c r="E24" s="29"/>
      <c r="F24" s="32"/>
      <c r="G24" s="29"/>
      <c r="H24" s="154"/>
    </row>
    <row r="25" spans="1:8" ht="51" customHeight="1" x14ac:dyDescent="0.4">
      <c r="A25" s="74" t="s">
        <v>143</v>
      </c>
      <c r="B25" s="87">
        <f>IF(OR('Calculated Metrics'!$B$33=0,'Calculated Metrics'!$B$33="-"),0,
_xlfn.LET(
    _xlpm.rate,
    IF('User Inputs'!$B$9="Commercial",
        INDEX('MEA Incentives'!$B$4:$D$4,MATCH("Electrification",'MEA Incentives'!$B$3:$D$3,0)),
        IF('User Inputs'!$B$9="Non-Profit",
            INDEX('MEA Incentives'!$B$25:$D$25,MATCH("Electrification",'MEA Incentives'!$B$24:$D$24,0)),
            IF(ISNUMBER(SEARCH("K-12",'User Inputs'!$B$9)),
                INDEX('MEA Incentives'!$B$11:$D$11,MATCH("Electrification",'MEA Incentives'!$B$10:$D$10,0)),
                IF('User Inputs'!$B$9="Local Government",
                    INDEX('MEA Incentives'!$B$18:$D$18,MATCH("Electrification",'MEA Incentives'!$B$17:$D$17,0)),
                    0
                )
            )
        )
    ),
    _xlpm.raw,'Calculated Metrics'!$B$33*_xlpm.rate,
    _xlpm.minCap,
    IF('User Inputs'!$B$9="Commercial",
        INDEX('MEA Incentives'!$B$5:$D$5,MATCH("Electrification",'MEA Incentives'!$B$3:$D$3,0)),
        IF('User Inputs'!$B$9="Non-Profit",
            INDEX('MEA Incentives'!$B$26:$D$26,MATCH("Electrification",'MEA Incentives'!$B$24:$D$24,0)),
            IF(ISNUMBER(SEARCH("K-12",'User Inputs'!$B$9)),
                INDEX('MEA Incentives'!$B$12:$D$12,MATCH("Electrification",'MEA Incentives'!$B$10:$D$10,0)),
                IF('User Inputs'!$B$9="Local Government",
                    INDEX('MEA Incentives'!$B$19:$D$19,MATCH("Electrification",'MEA Incentives'!$B$17:$D$17,0)),
                    0
                )
            )
        )
    ),
    _xlpm.maxCap,
    IF('User Inputs'!$B$9="Commercial",
        INDEX('MEA Incentives'!$B$6:$D$6,MATCH("Electrification",'MEA Incentives'!$B$3:$D$3,0)),
        IF('User Inputs'!$B$9="Non-Profit",
            INDEX('MEA Incentives'!$B$27:$D$27,MATCH("Electrification",'MEA Incentives'!$B$24:$D$24,0)),
            IF(ISNUMBER(SEARCH("K-12",'User Inputs'!$B$9)),
                INDEX('MEA Incentives'!$B$13:$D$13,MATCH("Electrification",'MEA Incentives'!$B$10:$D$10,0)),
                IF('User Inputs'!$B$9="Local Government",
                    INDEX('MEA Incentives'!$B$20:$D$20,MATCH("Electrification",'MEA Incentives'!$B$17:$D$17,0)),
                    0
                )
            )
        )
    ),
    _xlpm.pctCap,
    IF('User Inputs'!$B$9="Commercial",
        INDEX('MEA Incentives'!$B$7:$D$7,MATCH("Electrification",'MEA Incentives'!$B$3:$D$3,0)),
        IF('User Inputs'!$B$9="Non-Profit",
            INDEX('MEA Incentives'!$B$28:$D$28,MATCH("Electrification",'MEA Incentives'!$B$24:$D$24,0)),
            IF(ISNUMBER(SEARCH("K-12",'User Inputs'!$B$9)),
                INDEX('MEA Incentives'!$B$14:$D$14,MATCH("Electrification",'MEA Incentives'!$B$10:$D$10,0)),
                IF('User Inputs'!$B$9="Local Government",
                    INDEX('MEA Incentives'!$B$21:$D$21,MATCH("Electrification",'MEA Incentives'!$B$17:$D$17,0)),
                    0
                )
            )
        )
    ),
    _xlpm.projectCostCap,'Calculated Metrics'!$B$21*_xlpm.pctCap,
    _xlpm.final,
    IF(
        _xlpm.raw&lt;_xlpm.minCap,
        _xlpm.minCap,
        MIN(
            _xlpm.raw,
            _xlpm.maxCap,
            _xlpm.projectCostCap
        )
    ),
    _xlpm.final
))</f>
        <v>0</v>
      </c>
      <c r="C25" s="74" t="s">
        <v>144</v>
      </c>
      <c r="D25" s="87">
        <f>IF(OR('Calculated Metrics'!$D$33=0,'Calculated Metrics'!$D$33="-"),0,
_xlfn.LET(
    _xlpm.rate,
    IF('User Inputs'!$B$9="Commercial",
        INDEX('MEA Incentives'!$B$4:$D$4,MATCH("Energy Efficiency",'MEA Incentives'!$B$3:$D$3,0)),
        IF('User Inputs'!$B$9="Non-Profit",
            INDEX('MEA Incentives'!$B$25:$D$25,MATCH("Energy Efficiency",'MEA Incentives'!$B$24:$D$24,0)),
            IF(ISNUMBER(SEARCH("K-12",'User Inputs'!$B$9)),
                INDEX('MEA Incentives'!$B$11:$D$11,MATCH("Energy Efficiency",'MEA Incentives'!$B$10:$D$10,0)),
                IF('User Inputs'!$B$9="Local Government",
                    INDEX('MEA Incentives'!$B$18:$D$18,MATCH("Energy Efficiency",'MEA Incentives'!$B$17:$D$17,0)),
                    0
                )
            )
        )
    ),
    _xlpm.raw,'Calculated Metrics'!$D$33*_xlpm.rate,
    _xlpm.minCap,
    IF('User Inputs'!$B$9="Commercial",
        INDEX('MEA Incentives'!$B$5:$D$5,MATCH("Energy Efficiency",'MEA Incentives'!$B$3:$D$3,0)),
        IF('User Inputs'!$B$9="Non-Profit",
            INDEX('MEA Incentives'!$B$26:$D$26,MATCH("Energy Efficiency",'MEA Incentives'!$B$24:$D$24,0)),
            IF(ISNUMBER(SEARCH("K-12",'User Inputs'!$B$9)),
                INDEX('MEA Incentives'!$B$12:$D$12,MATCH("Energy Efficiency",'MEA Incentives'!$B$10:$D$10,0)),
                IF('User Inputs'!$B$9="Local Government",
                    INDEX('MEA Incentives'!$B$19:$D$19,MATCH("Energy Efficiency",'MEA Incentives'!$B$17:$D$17,0)),
                    0
                )
            )
        )
    ),
    _xlpm.maxCap,
    IF('User Inputs'!$B$9="Commercial",
        INDEX('MEA Incentives'!$B$6:$D$6,MATCH("Energy Efficiency",'MEA Incentives'!$B$3:$D$3,0)),
        IF('User Inputs'!$B$9="Non-Profit",
            INDEX('MEA Incentives'!$B$27:$D$27,MATCH("Energy Efficiency",'MEA Incentives'!$B$24:$D$24,0)),
            IF(ISNUMBER(SEARCH("K-12",'User Inputs'!$B$9)),
                INDEX('MEA Incentives'!$B$13:$D$13,MATCH("Energy Efficiency",'MEA Incentives'!$B$10:$D$10,0)),
                IF('User Inputs'!$B$9="Local Government",
                    INDEX('MEA Incentives'!$B$20:$D$20,MATCH("Energy Efficiency",'MEA Incentives'!$B$17:$D$17,0)),
                    0
                )
            )
        )
    ),
    _xlpm.pctCap,
    IF('User Inputs'!$B$9="Commercial",
        INDEX('MEA Incentives'!$B$7:$D$7,MATCH("Energy Efficiency",'MEA Incentives'!$B$3:$D$3,0)),
        IF('User Inputs'!$B$9="Non-Profit",
            INDEX('MEA Incentives'!$B$28:$D$28,MATCH("Energy Efficiency",'MEA Incentives'!$B$24:$D$24,0)),
            IF(ISNUMBER(SEARCH("K-12",'User Inputs'!$B$9)),
                INDEX('MEA Incentives'!$B$14:$D$14,MATCH("Energy Efficiency",'MEA Incentives'!$B$10:$D$10,0)),
                IF('User Inputs'!$B$9="Local Government",
                    INDEX('MEA Incentives'!$B$21:$D$21,MATCH("Energy Efficiency",'MEA Incentives'!$B$17:$D$17,0)),
                    0
                )
            )
        )
    ),
    _xlpm.projectCostCap,$D$21*_xlpm.pctCap,
    _xlpm.final,
    IF(
        _xlpm.raw&lt;_xlpm.minCap,
        _xlpm.minCap,
        MIN(
            _xlpm.raw,
            _xlpm.maxCap,
            _xlpm.projectCostCap
        )
    ),
    _xlpm.final
))</f>
        <v>0</v>
      </c>
      <c r="E25" s="74" t="s">
        <v>145</v>
      </c>
      <c r="F25" s="158">
        <f>IF(OR('Calculated Metrics'!$F$33=0,'Calculated Metrics'!$F$33="-"),0,
_xlfn.LET(
    _xlpm.rate,
    IF('User Inputs'!$B$9="Commercial",
        INDEX('MEA Incentives'!$B$4:$D$4,MATCH("Solar",'MEA Incentives'!$B$3:$D$3,0)),
        IF('User Inputs'!$B$9="Non-Profit",
            INDEX('MEA Incentives'!$B$25:$D$25,MATCH("Solar",'MEA Incentives'!$B$24:$D$24,0)),
            IF(ISNUMBER(SEARCH("K-12",'User Inputs'!$B$9)),
                INDEX('MEA Incentives'!$B$11:$D$11,MATCH("Solar",'MEA Incentives'!$B$10:$D$10,0)),
                IF('User Inputs'!$B$9="Local Government",
                    INDEX('MEA Incentives'!$B$18:$D$18,MATCH("Solar",'MEA Incentives'!$B$17:$D$17,0)),
                    0
                )
            )
        )
    ),
    _xlpm.raw,'Calculated Metrics'!$F$33*_xlpm.rate,
    _xlpm.minCap,
    IF('User Inputs'!$B$9="Commercial",
        INDEX('MEA Incentives'!$B$5:$D$5,MATCH("Solar",'MEA Incentives'!$B$3:$D$3,0)),
        IF('User Inputs'!$B$9="Non-Profit",
            INDEX('MEA Incentives'!$B$26:$D$26,MATCH("Solar",'MEA Incentives'!$B$24:$D$24,0)),
            IF(ISNUMBER(SEARCH("K-12",'User Inputs'!$B$9)),
                INDEX('MEA Incentives'!$B$12:$D$12,MATCH("Solar",'MEA Incentives'!$B$10:$D$10,0)),
                IF('User Inputs'!$B$9="Local Government",
                    INDEX('MEA Incentives'!$B$19:$D$19,MATCH("Solar",'MEA Incentives'!$B$17:$D$17,0)),
                    0
                )
            )
        )
    ),
    _xlpm.maxCap,
    IF('User Inputs'!$B$9="Commercial",
        INDEX('MEA Incentives'!$B$6:$D$6,MATCH("Solar",'MEA Incentives'!$B$3:$D$3,0)),
        IF('User Inputs'!$B$9="Non-Profit",
            INDEX('MEA Incentives'!$B$27:$D$27,MATCH("Solar",'MEA Incentives'!$B$24:$D$24,0)),
            IF(ISNUMBER(SEARCH("K-12",'User Inputs'!$B$9)),
                INDEX('MEA Incentives'!$B$13:$D$13,MATCH("Solar",'MEA Incentives'!$B$10:$D$10,0)),
                IF('User Inputs'!$B$9="Local Government",
                    INDEX('MEA Incentives'!$B$20:$D$20,MATCH("Solar",'MEA Incentives'!$B$17:$D$17,0)),
                    0
                )
            )
        )
    ),
    _xlpm.pctCap,
    IF('User Inputs'!$B$9="Commercial",
        INDEX('MEA Incentives'!$B$7:$D$7,MATCH("Solar",'MEA Incentives'!$B$3:$D$3,0)),
        IF('User Inputs'!$B$9="Non-Profit",
            INDEX('MEA Incentives'!$B$28:$D$28,MATCH("Solar",'MEA Incentives'!$B$24:$D$24,0)),
            IF(ISNUMBER(SEARCH("K-12",'User Inputs'!$B$9)),
                INDEX('MEA Incentives'!$B$14:$D$14,MATCH("Solar",'MEA Incentives'!$B$10:$D$10,0)),
                IF('User Inputs'!$B$9="Local Government",
                    INDEX('MEA Incentives'!$B$21:$D$21,MATCH("Solar",'MEA Incentives'!$B$17:$D$17,0)),
                    0
                )
            )
        )
    ),
    _xlpm.projectCostCap,$F$21*_xlpm.pctCap,
    _xlpm.final,
    IF(
        _xlpm.raw&lt;_xlpm.minCap,
        _xlpm.minCap,
        MIN(
            _xlpm.raw,
            _xlpm.maxCap,
            _xlpm.projectCostCap
        )
    ),
    _xlpm.final
))</f>
        <v>0</v>
      </c>
      <c r="G25" s="243" t="s">
        <v>124</v>
      </c>
      <c r="H25" s="246">
        <f>SUM($B$25,$D$25,$F$25)</f>
        <v>0</v>
      </c>
    </row>
    <row r="26" spans="1:8" ht="13.5" customHeight="1" x14ac:dyDescent="0.4">
      <c r="A26" s="156"/>
      <c r="B26" s="52"/>
      <c r="C26" s="157"/>
      <c r="D26" s="52"/>
      <c r="E26" s="157"/>
      <c r="F26" s="52"/>
      <c r="G26" s="244"/>
      <c r="H26" s="247"/>
    </row>
    <row r="27" spans="1:8" ht="79.5" customHeight="1" x14ac:dyDescent="0.4">
      <c r="A27" s="249" t="str">
        <f>_xlfn.LET(
_xlpm.raw,
$B$33*
IF('User Inputs'!$B$9="Commercial",
INDEX('MEA Incentives'!$B$4:$D$4,MATCH("Electrification",'MEA Incentives'!$B$3:$D$3,0)),
IF('User Inputs'!$B$9="Non-Profit",
INDEX('MEA Incentives'!$B$25:$D$25,MATCH("Electrification",'MEA Incentives'!$B$24:$D$24,0)),
IF(ISNUMBER(SEARCH("K-12",'User Inputs'!$B$9)),
INDEX('MEA Incentives'!$B$11:$D$11,MATCH("Electrification",'MEA Incentives'!$B$10:$D$10,0)),
IF('User Inputs'!$B$9="Local Government",
INDEX('MEA Incentives'!$B$18:$D$18,MATCH("Electrification",'MEA Incentives'!$B$17:$D$17,0)),
0
)
)
)
),
_xlpm.minCap,
IF('User Inputs'!$B$9="Commercial",
INDEX('MEA Incentives'!$B$5:$D$5,MATCH("Electrification",'MEA Incentives'!$B$3:$D$3,0)),
IF('User Inputs'!$B$9="Non-Profit",
INDEX('MEA Incentives'!$B$26:$D$26,MATCH("Electrification",'MEA Incentives'!$B$24:$D$24,0)),
IF(ISNUMBER(SEARCH("K-12",'User Inputs'!$B$9)),
INDEX('MEA Incentives'!$B$12:$D$12,MATCH("Electrification",'MEA Incentives'!$B$10:$D$10,0)),
IF('User Inputs'!$B$9="Local Government",
INDEX('MEA Incentives'!$B$19:$D$19,MATCH("Electrification",'MEA Incentives'!$B$17:$D$17,0)),
0
)
)
)
),
_xlpm.maxCap,
IF('User Inputs'!$B$9="Commercial",
INDEX('MEA Incentives'!$B$6:$D$6,MATCH("Electrification",'MEA Incentives'!$B$3:$D$3,0)),
IF('User Inputs'!$B$9="Non-Profit",
INDEX('MEA Incentives'!$B$27:$D$27,MATCH("Electrification",'MEA Incentives'!$B$24:$D$24,0)),
IF(ISNUMBER(SEARCH("K-12",'User Inputs'!$B$9)),
INDEX('MEA Incentives'!$B$13:$D$13,MATCH("Electrification",'MEA Incentives'!$B$10:$D$10,0)),
IF('User Inputs'!$B$9="Local Government",
INDEX('MEA Incentives'!$B$20:$D$20,MATCH("Electrification",'MEA Incentives'!$B$17:$D$17,0)),
0
)
)
)
),
_xlpm.pctCap,
IF('User Inputs'!$B$9="Commercial",
INDEX('MEA Incentives'!$B$7:$D$7,MATCH("Electrification",'MEA Incentives'!$B$3:$D$3,0)),
IF('User Inputs'!$B$9="Non-Profit",
INDEX('MEA Incentives'!$B$28:$D$28,MATCH("Electrification",'MEA Incentives'!$B$24:$D$24,0)),
IF(ISNUMBER(SEARCH("K-12",'User Inputs'!$B$9)),
INDEX('MEA Incentives'!$B$14:$D$14,MATCH("Electrification",'MEA Incentives'!$B$10:$D$10,0)),
IF('User Inputs'!$B$9="Local Government",
INDEX('MEA Incentives'!$B$21:$D$21,MATCH("Electrification",'MEA Incentives'!$B$17:$D$17,0)),
0
)
)
)
),
_xlpm.projectCap,
$B$21*_xlpm.pctCap,
_xlpm.capReason,
IF(
_xlpm.raw&lt;_xlpm.minCap,
"minimum grant cap",
IF(
_xlpm.projectCap&lt;=_xlpm.maxCap,
IF(
_xlpm.raw&gt;_xlpm.projectCap,
"project cost cap",
"program funding limits"
),
IF(
_xlpm.raw&gt;_xlpm.maxCap,
"maximum grant cap",
"program funding limits"
)
)
),
IF(
B25=0,
"",
IF(
ABS(_xlpm.raw-B25)&lt;0.01,
"The calculated Electrification incentive of $"&amp;TEXT(B25,"#,##0")&amp;
" is within all program funding limits.",
IF(
_xlpm.raw&lt;_xlpm.minCap,
"The calculated Electrification incentive of $"&amp;
TEXT(_xlpm.raw,"#,##0")&amp;
" is below the Minimum Grant Cap of $"&amp;
TEXT(_xlpm.minCap,"#,##0")&amp;
". Therefore, the incentive has been increased to the Minimum Grant Cap of $"&amp;
TEXT(B25,"#,##0")&amp;".",
"The calculated Electrification incentive of $"&amp;
TEXT(_xlpm.raw,"#,##0")&amp;
" exceeded the "&amp;PROPER(_xlpm.capReason)&amp;
", and has been capped at the "&amp;PROPER(_xlpm.capReason)&amp;
" of $"&amp;
TEXT(B25,"#,##0")&amp;"."
)
)
))</f>
        <v/>
      </c>
      <c r="B27" s="249"/>
      <c r="C27" s="249" t="str">
        <f>_xlfn.LET(
_xlpm.raw,
$D$33*
IF('User Inputs'!$B$9="Commercial",
INDEX('MEA Incentives'!$B$4:$D$4,MATCH("Energy Efficiency",'MEA Incentives'!$B$3:$D$3,0)),
IF('User Inputs'!$B$9="Non-Profit",
INDEX('MEA Incentives'!$B$25:$D$25,MATCH("Energy Efficiency",'MEA Incentives'!$B$24:$D$24,0)),
IF(ISNUMBER(SEARCH("K-12",'User Inputs'!$B$9)),
INDEX('MEA Incentives'!$B$11:$D$11,MATCH("Energy Efficiency",'MEA Incentives'!$B$10:$D$10,0)),
IF('User Inputs'!$B$9="Local Government",
INDEX('MEA Incentives'!$B$18:$D$18,MATCH("Energy Efficiency",'MEA Incentives'!$B$17:$D$17,0)),
0
)
)
)
),
_xlpm.minCap,
IF('User Inputs'!$B$9="Commercial",
INDEX('MEA Incentives'!$B$5:$D$5,MATCH("Energy Efficiency",'MEA Incentives'!$B$3:$D$3,0)),
IF('User Inputs'!$B$9="Non-Profit",
INDEX('MEA Incentives'!$B$26:$D$26,MATCH("Energy Efficiency",'MEA Incentives'!$B$24:$D$24,0)),
IF(ISNUMBER(SEARCH("K-12",'User Inputs'!$B$9)),
INDEX('MEA Incentives'!$B$12:$D$12,MATCH("Energy Efficiency",'MEA Incentives'!$B$10:$D$10,0)),
IF('User Inputs'!$B$9="Local Government",
INDEX('MEA Incentives'!$B$19:$D$19,MATCH("Energy Efficiency",'MEA Incentives'!$B$17:$D$17,0)),
0
)
)
)
),
_xlpm.maxCap,
IF('User Inputs'!$B$9="Commercial",
INDEX('MEA Incentives'!$B$6:$D$6,MATCH("Energy Efficiency",'MEA Incentives'!$B$3:$D$3,0)),
IF('User Inputs'!$B$9="Non-Profit",
INDEX('MEA Incentives'!$B$27:$D$27,MATCH("Energy Efficiency",'MEA Incentives'!$B$24:$D$24,0)),
IF(ISNUMBER(SEARCH("K-12",'User Inputs'!$B$9)),
INDEX('MEA Incentives'!$B$13:$D$13,MATCH("Energy Efficiency",'MEA Incentives'!$B$10:$D$10,0)),
IF('User Inputs'!$B$9="Local Government",
INDEX('MEA Incentives'!$B$20:$D$20,MATCH("Energy Efficiency",'MEA Incentives'!$B$17:$D$17,0)),
0
)
)
)
),
_xlpm.pctCap,
IF('User Inputs'!$B$9="Commercial",
INDEX('MEA Incentives'!$B$7:$D$7,MATCH("Energy Efficiency",'MEA Incentives'!$B$3:$D$3,0)),
IF('User Inputs'!$B$9="Non-Profit",
INDEX('MEA Incentives'!$B$28:$D$28,MATCH("Energy Efficiency",'MEA Incentives'!$B$24:$D$24,0)),
IF(ISNUMBER(SEARCH("K-12",'User Inputs'!$B$9)),
INDEX('MEA Incentives'!$B$14:$D$14,MATCH("Energy Efficiency",'MEA Incentives'!$B$10:$D$10,0)),
IF('User Inputs'!$B$9="Local Government",
INDEX('MEA Incentives'!$B$21:$D$21,MATCH("Energy Efficiency",'MEA Incentives'!$B$17:$D$17,0)),
0
)
)
)
),
_xlpm.projectCap,
$D$21*_xlpm.pctCap,
_xlpm.capReason,
IF(
_xlpm.raw&lt;_xlpm.minCap,
"minimum grant cap",
IF(
_xlpm.projectCap&lt;=_xlpm.maxCap,
IF(
_xlpm.raw&gt;_xlpm.projectCap,
"project cost cap",
"program funding limits"
),
IF(
_xlpm.raw&gt;_xlpm.maxCap,
"maximum grant cap",
"program funding limits"
)
)
),
IF(
D25=0,
"",
IF(
ABS(_xlpm.raw-D25)&lt;0.01,
"The calculated Energy Efficiency incentive of $"&amp;TEXT(D25,"#,##0")&amp;
" is within all program funding limits.",
IF(
_xlpm.raw&lt;_xlpm.minCap,
"The calculated Energy Efficiency incentive of $"&amp;
TEXT(_xlpm.raw,"#,##0")&amp;
" is below the Minimum Grant Cap of $"&amp;
TEXT(_xlpm.minCap,"#,##0")&amp;
". Therefore, the incentive has been increased to the Minimum Grant Cap of $"&amp;
TEXT(D25,"#,##0")&amp;".",
"The calculated Energy Efficiency incentive of $"&amp;
TEXT(_xlpm.raw,"#,##0")&amp;
" exceeded the "&amp;PROPER(_xlpm.capReason)&amp;
", and has been capped at the "&amp;PROPER(_xlpm.capReason)&amp;
" of $"&amp;
TEXT(D25,"#,##0")&amp;"."
)
)
))</f>
        <v/>
      </c>
      <c r="D27" s="249"/>
      <c r="E27" s="249" t="str">
        <f>_xlfn.LET(
_xlpm.raw,
$F$33*
IF('User Inputs'!$B$9="Commercial",
INDEX('MEA Incentives'!$B$4:$D$4,MATCH("Solar",'MEA Incentives'!$B$3:$D$3,0)),
IF('User Inputs'!$B$9="Non-Profit",
INDEX('MEA Incentives'!$B$25:$D$25,MATCH("Solar",'MEA Incentives'!$B$24:$D$24,0)),
IF(ISNUMBER(SEARCH("K-12",'User Inputs'!$B$9)),
INDEX('MEA Incentives'!$B$11:$D$11,MATCH("Solar",'MEA Incentives'!$B$10:$D$10,0)),
IF('User Inputs'!$B$9="Local Government",
INDEX('MEA Incentives'!$B$18:$D$18,MATCH("Solar",'MEA Incentives'!$B$17:$D$17,0)),
0
)
)
)
),
_xlpm.minCap,
IF('User Inputs'!$B$9="Commercial",
INDEX('MEA Incentives'!$B$5:$D$5,MATCH("Solar",'MEA Incentives'!$B$3:$D$3,0)),
IF('User Inputs'!$B$9="Non-Profit",
INDEX('MEA Incentives'!$B$26:$D$26,MATCH("Solar",'MEA Incentives'!$B$24:$D$24,0)),
IF(ISNUMBER(SEARCH("K-12",'User Inputs'!$B$9)),
INDEX('MEA Incentives'!$B$12:$D$12,MATCH("Solar",'MEA Incentives'!$B$10:$D$10,0)),
IF('User Inputs'!$B$9="Local Government",
INDEX('MEA Incentives'!$B$19:$D$19,MATCH("Solar",'MEA Incentives'!$B$17:$D$17,0)),
0
)
)
)
),
_xlpm.maxCap,
IF('User Inputs'!$B$9="Commercial",
INDEX('MEA Incentives'!$B$6:$D$6,MATCH("Solar",'MEA Incentives'!$B$3:$D$3,0)),
IF('User Inputs'!$B$9="Non-Profit",
INDEX('MEA Incentives'!$B$27:$D$27,MATCH("Solar",'MEA Incentives'!$B$24:$D$24,0)),
IF(ISNUMBER(SEARCH("K-12",'User Inputs'!$B$9)),
INDEX('MEA Incentives'!$B$13:$D$13,MATCH("Solar",'MEA Incentives'!$B$10:$D$10,0)),
IF('User Inputs'!$B$9="Local Government",
INDEX('MEA Incentives'!$B$20:$D$20,MATCH("Solar",'MEA Incentives'!$B$17:$D$17,0)),
0
)
)
)
),
_xlpm.pctCap,
IF('User Inputs'!$B$9="Commercial",
INDEX('MEA Incentives'!$B$7:$D$7,MATCH("Solar",'MEA Incentives'!$B$3:$D$3,0)),
IF('User Inputs'!$B$9="Non-Profit",
INDEX('MEA Incentives'!$B$28:$D$28,MATCH("Solar",'MEA Incentives'!$B$24:$D$24,0)),
IF(ISNUMBER(SEARCH("K-12",'User Inputs'!$B$9)),
INDEX('MEA Incentives'!$B$14:$D$14,MATCH("Solar",'MEA Incentives'!$B$10:$D$10,0)),
IF('User Inputs'!$B$9="Local Government",
INDEX('MEA Incentives'!$B$21:$D$21,MATCH("Solar",'MEA Incentives'!$B$17:$D$17,0)),
0
)
)
)
),
_xlpm.projectCap,
$F$21*_xlpm.pctCap,
_xlpm.capReason,
IF(
_xlpm.raw&lt;_xlpm.minCap,
"minimum grant cap",
IF(
_xlpm.projectCap&lt;=_xlpm.maxCap,
IF(
_xlpm.raw&gt;_xlpm.projectCap,
"project cost cap",
"program funding limits"
),
IF(
_xlpm.raw&gt;_xlpm.maxCap,
"maximum grant cap",
"program funding limits"
)
)
),
IF(
F25=0,
"",
IF(
ABS(_xlpm.raw-F25)&lt;0.01,
"The calculated Solar incentive of $"&amp;TEXT(F25,"#,##0")&amp;
" is within all program funding limits.",
IF(
_xlpm.raw&lt;_xlpm.minCap,
"The calculated Solar incentive of $"&amp;
TEXT(_xlpm.raw,"#,##0")&amp;
" is below the Minimum Grant Cap of $"&amp;
TEXT(_xlpm.minCap,"#,##0")&amp;
". Therefore, the incentive has been increased to the Minimum Grant Cap of $"&amp;
TEXT(F25,"#,##0")&amp;".",
"The calculated Solar incentive of $"&amp;
TEXT(_xlpm.raw,"#,##0")&amp;
" exceeded the "&amp;PROPER(_xlpm.capReason)&amp;
", and has been capped at the "&amp;PROPER(_xlpm.capReason)&amp;
" of $"&amp;
TEXT(F25,"#,##0")&amp;"."
)
)
))</f>
        <v/>
      </c>
      <c r="F27" s="249"/>
      <c r="G27" s="245"/>
      <c r="H27" s="248"/>
    </row>
    <row r="28" spans="1:8" ht="13.5" customHeight="1" x14ac:dyDescent="0.4">
      <c r="A28" s="67"/>
      <c r="B28" s="68"/>
      <c r="C28" s="67"/>
      <c r="D28" s="68"/>
      <c r="E28" s="67"/>
      <c r="F28" s="68"/>
      <c r="G28" s="47"/>
      <c r="H28" s="53"/>
    </row>
    <row r="29" spans="1:8" ht="39.950000000000003" customHeight="1" x14ac:dyDescent="0.4">
      <c r="A29" s="55" t="s">
        <v>104</v>
      </c>
      <c r="B29" s="56"/>
      <c r="C29" s="56"/>
      <c r="D29" s="56"/>
      <c r="E29" s="56"/>
      <c r="F29" s="56"/>
      <c r="G29" s="56"/>
      <c r="H29" s="69"/>
    </row>
    <row r="30" spans="1:8" ht="13.5" customHeight="1" x14ac:dyDescent="0.4">
      <c r="A30" s="65"/>
      <c r="B30" s="32"/>
      <c r="C30" s="29"/>
      <c r="D30" s="32"/>
      <c r="E30" s="29"/>
      <c r="F30" s="32"/>
      <c r="G30" s="29"/>
      <c r="H30" s="71"/>
    </row>
    <row r="31" spans="1:8" ht="93" customHeight="1" x14ac:dyDescent="0.4">
      <c r="A31" s="59" t="s">
        <v>106</v>
      </c>
      <c r="B31" s="51" cm="1">
        <f t="array" ref="B31">IF('User Inputs'!$F$9="",0,
_xlfn.LET(
    _xlpm.ef_elec,Lookups!$D$3,
    _xlpm.ef_gas,Lookups!$D$4,
    _xlpm.ef_prop,Lookups!$D$5,
    _xlpm.ef_oil,Lookups!$D$6,
    _xlpm.isElec,_xlfn.LAMBDA(_xlpm.x,
        IF(_xlpm.x="",0,--(_xlfn.XLOOKUP(_xlpm.x,Lookups!$B$20:$B$31,Lookups!$D$20:$D$31,"")="Electrification"))
    ),
    _xlpm.cats,_xlfn.HSTACK(
        'User Inputs'!$B$11,
        'User Inputs'!$D$11,
        'User Inputs'!$F$11,
        'User Inputs'!$H$11
    ),
    _xlpm.calcs,_xlfn.HSTACK(
        ('User Inputs'!$B$24*_xlpm.ef_elec)+('User Inputs'!$D$24*_xlpm.ef_gas)+('User Inputs'!$F$24*_xlpm.ef_prop)+('User Inputs'!$H$24*_xlpm.ef_oil),
        ('User Inputs'!$B$26*_xlpm.ef_elec)+('User Inputs'!$D$26*_xlpm.ef_gas)+('User Inputs'!$F$26*_xlpm.ef_prop)+('User Inputs'!$H$26*_xlpm.ef_oil),
        ('User Inputs'!$B$28*_xlpm.ef_elec)+('User Inputs'!$D$28*_xlpm.ef_gas)+('User Inputs'!$F$28*_xlpm.ef_prop)+('User Inputs'!$H$28*_xlpm.ef_oil),
        ('User Inputs'!$B$30*_xlpm.ef_elec)+('User Inputs'!$D$30*_xlpm.ef_gas)+('User Inputs'!$F$30*_xlpm.ef_prop)+('User Inputs'!$H$30*_xlpm.ef_oil)
    ),
    _xlpm.n,MIN(--'User Inputs'!$F$9,COLUMNS(_xlpm.cats)),
    _xlpm.total,
        SUM(
            _xlfn.MAP(
                _xlfn.TAKE(_xlpm.cats,,_xlpm.n),
                _xlfn.TAKE(_xlpm.calcs,,_xlpm.n),
                _xlfn.LAMBDA(_xlpm.c,_xlpm.v,_xlpm.isElec(_xlpm.c)*_xlpm.v)
            )
        ),
    IF(_xlpm.total=0,0,_xlpm.total)
))</f>
        <v>0</v>
      </c>
      <c r="C31" s="33" t="s">
        <v>107</v>
      </c>
      <c r="D31" s="51" cm="1">
        <f t="array" ref="D31">IF('User Inputs'!$F$9="",0,
_xlfn.LET(
    _xlpm.ef_elec,Lookups!$D$3,
    _xlpm.ef_gas,Lookups!$D$4,
    _xlpm.ef_prop,Lookups!$D$5,
    _xlpm.ef_oil,Lookups!$D$6,
    _xlpm.isEE,_xlfn.LAMBDA(_xlpm.x,
        IF(_xlpm.x="",0,--(_xlfn.XLOOKUP(_xlpm.x,Lookups!$B$20:$B$31,Lookups!$D$20:$D$31,"")="Energy Efficiency"))
    ),
    _xlpm.cats,_xlfn.HSTACK(
        'User Inputs'!$B$11,
        'User Inputs'!$D$11,
        'User Inputs'!$F$11,
        'User Inputs'!$H$11
    ),
    _xlpm.calcs,_xlfn.HSTACK(
        ('User Inputs'!$B$24*_xlpm.ef_elec)+('User Inputs'!$D$24*_xlpm.ef_gas)+('User Inputs'!$F$24*_xlpm.ef_prop)+('User Inputs'!$H$24*_xlpm.ef_oil),
        ('User Inputs'!$B$26*_xlpm.ef_elec)+('User Inputs'!$D$26*_xlpm.ef_gas)+('User Inputs'!$F$26*_xlpm.ef_prop)+('User Inputs'!$H$26*_xlpm.ef_oil),
        ('User Inputs'!$B$28*_xlpm.ef_elec)+('User Inputs'!$D$28*_xlpm.ef_gas)+('User Inputs'!$F$28*_xlpm.ef_prop)+('User Inputs'!$H$28*_xlpm.ef_oil),
        ('User Inputs'!$B$30*_xlpm.ef_elec)+('User Inputs'!$D$30*_xlpm.ef_gas)+('User Inputs'!$F$30*_xlpm.ef_prop)+('User Inputs'!$H$30*_xlpm.ef_oil)
    ),
    _xlpm.n,MIN(--'User Inputs'!$F$9,COLUMNS(_xlpm.cats)),
    _xlpm.total,
        SUM(
            _xlfn.MAP(
                _xlfn.TAKE(_xlpm.cats,,_xlpm.n),
                _xlfn.TAKE(_xlpm.calcs,,_xlpm.n),
                _xlfn.LAMBDA(_xlpm.c,_xlpm.v,_xlpm.isEE(_xlpm.c)*_xlpm.v)
            )
        ),
    IF(_xlpm.total=0,0,_xlpm.total)
))</f>
        <v>0</v>
      </c>
      <c r="E31" s="33" t="s">
        <v>108</v>
      </c>
      <c r="F31" s="51" cm="1">
        <f t="array" ref="F31">IF('User Inputs'!$F$9="",0,
_xlfn.LET(
    _xlpm.ef_elec,Lookups!$D$3,
    _xlpm.ef_gas,Lookups!$D$4,
    _xlpm.ef_prop,Lookups!$D$5,
    _xlpm.ef_oil,Lookups!$D$6,
    _xlpm.isS,_xlfn.LAMBDA(_xlpm.x,
        IF(_xlpm.x="",0,--(_xlfn.XLOOKUP(_xlpm.x,Lookups!$B$20:$B$31,Lookups!$D$20:$D$31,"")="Solar"))
    ),
    _xlpm.cats,_xlfn.HSTACK(
        'User Inputs'!$B$11,
        'User Inputs'!$D$11,
        'User Inputs'!$F$11,
        'User Inputs'!$H$11
    ),
    _xlpm.calcs,_xlfn.HSTACK(
        ('User Inputs'!$B$24*_xlpm.ef_elec)+('User Inputs'!$D$24*_xlpm.ef_gas)+('User Inputs'!$F$24*_xlpm.ef_prop)+('User Inputs'!$H$24*_xlpm.ef_oil),
        ('User Inputs'!$B$26*_xlpm.ef_elec)+('User Inputs'!$D$26*_xlpm.ef_gas)+('User Inputs'!$F$26*_xlpm.ef_prop)+('User Inputs'!$H$26*_xlpm.ef_oil),
        ('User Inputs'!$B$28*_xlpm.ef_elec)+('User Inputs'!$D$28*_xlpm.ef_gas)+('User Inputs'!$F$28*_xlpm.ef_prop)+('User Inputs'!$H$28*_xlpm.ef_oil),
        ('User Inputs'!$B$30*_xlpm.ef_elec)+('User Inputs'!$D$30*_xlpm.ef_gas)+('User Inputs'!$F$30*_xlpm.ef_prop)+('User Inputs'!$H$30*_xlpm.ef_oil)
    ),
    _xlpm.n,MIN(--'User Inputs'!$F$9,COLUMNS(_xlpm.cats)),
    _xlpm.total,
        SUM(
            _xlfn.MAP(
                _xlfn.TAKE(_xlpm.cats,,_xlpm.n),
                _xlfn.TAKE(_xlpm.calcs,,_xlpm.n),
                _xlfn.LAMBDA(_xlpm.c,_xlpm.v,_xlpm.isS(_xlpm.c)*_xlpm.v)
            )
        ),
    IF(_xlpm.total=0,0,_xlpm.total)
))</f>
        <v>0</v>
      </c>
      <c r="G31" s="54" t="s">
        <v>109</v>
      </c>
      <c r="H31" s="75">
        <f>SUM($B$31,$D$31,$F$31)</f>
        <v>0</v>
      </c>
    </row>
    <row r="32" spans="1:8" ht="13.5" customHeight="1" x14ac:dyDescent="0.4">
      <c r="A32" s="65"/>
      <c r="B32" s="30"/>
      <c r="C32" s="29"/>
      <c r="D32" s="30"/>
      <c r="E32" s="29"/>
      <c r="F32" s="30"/>
      <c r="G32" s="72"/>
      <c r="H32" s="76"/>
    </row>
    <row r="33" spans="1:10" ht="93" customHeight="1" x14ac:dyDescent="0.4">
      <c r="A33" s="77" t="s">
        <v>110</v>
      </c>
      <c r="B33" s="73" cm="1">
        <f t="array" ref="B33">IF('User Inputs'!$F$9="",0,
_xlfn.LET(
    _xlpm.ef_elec,Lookups!$D$3,
    _xlpm.ef_gas,Lookups!$D$4,
    _xlpm.ef_prop,Lookups!$D$5,
    _xlpm.ef_oil,Lookups!$D$6,
    _xlpm.isElec,_xlfn.LAMBDA(_xlpm.x,
        IF(_xlpm.x="",0,--(_xlfn.XLOOKUP(_xlpm.x,Lookups!$B$20:$B$31,Lookups!$D$20:$D$31,"")="Electrification"))
    ),
    _xlpm.getEUL,_xlfn.LAMBDA(_xlpm.x,
        IF(_xlpm.x="",0,_xlfn.XLOOKUP(_xlpm.x,Lookups!$B$20:$B$31,Lookups!$C$20:$C$31,0))
    ),
    _xlpm.cats,_xlfn.HSTACK(
        'User Inputs'!$B$11,
        'User Inputs'!$D$11,
        'User Inputs'!$F$11,
        'User Inputs'!$H$11
    ),
    _xlpm.calcs,_xlfn.HSTACK(
        (('User Inputs'!$B$24*_xlpm.ef_elec)+('User Inputs'!$D$24*_xlpm.ef_gas)+('User Inputs'!$F$24*_xlpm.ef_prop)+('User Inputs'!$H$24*_xlpm.ef_oil))*_xlpm.getEUL('User Inputs'!$B$11),
        (('User Inputs'!$B$26*_xlpm.ef_elec)+('User Inputs'!$D$26*_xlpm.ef_gas)+('User Inputs'!$F$26*_xlpm.ef_prop)+('User Inputs'!$H$26*_xlpm.ef_oil))*_xlpm.getEUL('User Inputs'!$D$11),
        (('User Inputs'!$B$28*_xlpm.ef_elec)+('User Inputs'!$D$28*_xlpm.ef_gas)+('User Inputs'!$F$28*_xlpm.ef_prop)+('User Inputs'!$H$28*_xlpm.ef_oil))*_xlpm.getEUL('User Inputs'!$F$11),
        (('User Inputs'!$B$30*_xlpm.ef_elec)+('User Inputs'!$D$30*_xlpm.ef_gas)+('User Inputs'!$F$30*_xlpm.ef_prop)+('User Inputs'!$H$30*_xlpm.ef_oil))*_xlpm.getEUL('User Inputs'!$H$11)
    ),
    _xlpm.n,MIN(--'User Inputs'!$F$9,COLUMNS(_xlpm.cats)),
    _xlpm.total,
        SUM(
            _xlfn.MAP(
                _xlfn.TAKE(_xlpm.cats,,_xlpm.n),
                _xlfn.TAKE(_xlpm.calcs,,_xlpm.n),
                _xlfn.LAMBDA(_xlpm.c,_xlpm.v,_xlpm.isElec(_xlpm.c)*_xlpm.v)
            )
        ),
    IF(_xlpm.total=0,0,_xlpm.total)
))</f>
        <v>0</v>
      </c>
      <c r="C33" s="74" t="s">
        <v>111</v>
      </c>
      <c r="D33" s="73" cm="1">
        <f t="array" ref="D33">IF('User Inputs'!$F$9="",0,
_xlfn.LET(
    _xlpm.ef_elec,Lookups!$D$3,
    _xlpm.ef_gas,Lookups!$D$4,
    _xlpm.ef_prop,Lookups!$D$5,
    _xlpm.ef_oil,Lookups!$D$6,
    _xlpm.isEE,_xlfn.LAMBDA(_xlpm.x,
        IF(_xlpm.x="",0,--(_xlfn.XLOOKUP(_xlpm.x,Lookups!$B$20:$B$31,Lookups!$D$20:$D$31,"")="Energy Efficiency"))
    ),
    _xlpm.getEUL,_xlfn.LAMBDA(_xlpm.x,
        IF(_xlpm.x="",0,_xlfn.XLOOKUP(_xlpm.x,Lookups!$B$20:$B$31,Lookups!$C$20:$C$31,0))
    ),
    _xlpm.cats,_xlfn.HSTACK(
        'User Inputs'!$B$11,
        'User Inputs'!$D$11,
        'User Inputs'!$F$11,
        'User Inputs'!$H$11
    ),
    _xlpm.calcs,_xlfn.HSTACK(
        (('User Inputs'!$B$24*_xlpm.ef_elec)+('User Inputs'!$D$24*_xlpm.ef_gas)+('User Inputs'!$F$24*_xlpm.ef_prop)+('User Inputs'!$H$24*_xlpm.ef_oil))*_xlpm.getEUL('User Inputs'!$B$11),
        (('User Inputs'!$B$26*_xlpm.ef_elec)+('User Inputs'!$D$26*_xlpm.ef_gas)+('User Inputs'!$F$26*_xlpm.ef_prop)+('User Inputs'!$H$26*_xlpm.ef_oil))*_xlpm.getEUL('User Inputs'!$D$11),
        (('User Inputs'!$B$28*_xlpm.ef_elec)+('User Inputs'!$D$28*_xlpm.ef_gas)+('User Inputs'!$F$28*_xlpm.ef_prop)+('User Inputs'!$H$28*_xlpm.ef_oil))*_xlpm.getEUL('User Inputs'!$F$11),
        (('User Inputs'!$B$30*_xlpm.ef_elec)+('User Inputs'!$D$30*_xlpm.ef_gas)+('User Inputs'!$F$30*_xlpm.ef_prop)+('User Inputs'!$H$30*_xlpm.ef_oil))*_xlpm.getEUL('User Inputs'!$H$11)
    ),
    _xlpm.n,MIN(--'User Inputs'!$F$9,COLUMNS(_xlpm.cats)),
    _xlpm.total,
        SUM(
            _xlfn.MAP(
                _xlfn.TAKE(_xlpm.cats,,_xlpm.n),
                _xlfn.TAKE(_xlpm.calcs,,_xlpm.n),
                _xlfn.LAMBDA(_xlpm.c,_xlpm.v,_xlpm.isEE(_xlpm.c)*_xlpm.v)
            )
        ),
    IF(_xlpm.total=0,0,_xlpm.total)
))</f>
        <v>0</v>
      </c>
      <c r="E33" s="74" t="s">
        <v>112</v>
      </c>
      <c r="F33" s="73" cm="1">
        <f t="array" ref="F33">IF('User Inputs'!$F$9="",0,
_xlfn.LET(
    _xlpm.ef_elec,Lookups!$D$3,
    _xlpm.ef_gas,Lookups!$D$4,
    _xlpm.ef_prop,Lookups!$D$5,
    _xlpm.ef_oil,Lookups!$D$6,
    _xlpm.isS,_xlfn.LAMBDA(_xlpm.x,
        IF(_xlpm.x="",0,--(_xlfn.XLOOKUP(_xlpm.x,Lookups!$B$20:$B$31,Lookups!$D$20:$D$31,"")="Solar"))
    ),
    _xlpm.getEUL,_xlfn.LAMBDA(_xlpm.x,
        IF(_xlpm.x="",0,_xlfn.XLOOKUP(_xlpm.x,Lookups!$B$20:$B$31,Lookups!$C$20:$C$31,0))
    ),
    _xlpm.cats,_xlfn.HSTACK(
        'User Inputs'!$B$11,
        'User Inputs'!$D$11,
        'User Inputs'!$F$11,
        'User Inputs'!$H$11
    ),
    _xlpm.calcs,_xlfn.HSTACK(
        (('User Inputs'!$B$24*_xlpm.ef_elec)+('User Inputs'!$D$24*_xlpm.ef_gas)+('User Inputs'!$F$24*_xlpm.ef_prop)+('User Inputs'!$H$24*_xlpm.ef_oil))*_xlpm.getEUL('User Inputs'!$B$11),
        (('User Inputs'!$B$26*_xlpm.ef_elec)+('User Inputs'!$D$26*_xlpm.ef_gas)+('User Inputs'!$F$26*_xlpm.ef_prop)+('User Inputs'!$H$26*_xlpm.ef_oil))*_xlpm.getEUL('User Inputs'!$D$11),
        (('User Inputs'!$B$28*_xlpm.ef_elec)+('User Inputs'!$D$28*_xlpm.ef_gas)+('User Inputs'!$F$28*_xlpm.ef_prop)+('User Inputs'!$H$28*_xlpm.ef_oil))*_xlpm.getEUL('User Inputs'!$F$11),
        (('User Inputs'!$B$30*_xlpm.ef_elec)+('User Inputs'!$D$30*_xlpm.ef_gas)+('User Inputs'!$F$30*_xlpm.ef_prop)+('User Inputs'!$H$30*_xlpm.ef_oil))*_xlpm.getEUL('User Inputs'!$H$11)
    ),
    _xlpm.n,MIN(--'User Inputs'!$F$9,COLUMNS(_xlpm.cats)),
    _xlpm.total,
        SUM(
            _xlfn.MAP(
                _xlfn.TAKE(_xlpm.cats,,_xlpm.n),
                _xlfn.TAKE(_xlpm.calcs,,_xlpm.n),
                _xlfn.LAMBDA(_xlpm.c,_xlpm.v,_xlpm.isS(_xlpm.c)*_xlpm.v)
            )
        ),
    IF(_xlpm.total=0,0,_xlpm.total)
))</f>
        <v>0</v>
      </c>
      <c r="G33" s="70" t="s">
        <v>113</v>
      </c>
      <c r="H33" s="78">
        <f>SUM($B$33,$D$33,$F$33)</f>
        <v>0</v>
      </c>
    </row>
    <row r="34" spans="1:10" ht="13.5" customHeight="1" x14ac:dyDescent="0.4">
      <c r="A34" s="29"/>
      <c r="B34" s="32"/>
      <c r="C34" s="29"/>
      <c r="D34" s="32"/>
      <c r="E34" s="29"/>
      <c r="F34" s="32"/>
      <c r="G34" s="47"/>
      <c r="H34" s="53"/>
    </row>
    <row r="35" spans="1:10" ht="39.950000000000003" customHeight="1" x14ac:dyDescent="0.4">
      <c r="A35" s="55" t="s">
        <v>118</v>
      </c>
      <c r="B35" s="56"/>
      <c r="C35" s="56"/>
      <c r="D35" s="56"/>
      <c r="E35" s="56"/>
      <c r="F35" s="56"/>
      <c r="G35" s="56"/>
      <c r="H35" s="69"/>
    </row>
    <row r="36" spans="1:10" ht="13.5" customHeight="1" x14ac:dyDescent="0.4">
      <c r="A36" s="91"/>
      <c r="B36" s="92"/>
      <c r="C36" s="83"/>
      <c r="D36" s="92"/>
      <c r="E36" s="83"/>
      <c r="F36" s="92"/>
      <c r="G36" s="83"/>
      <c r="H36" s="90"/>
    </row>
    <row r="37" spans="1:10" ht="80.099999999999994" customHeight="1" x14ac:dyDescent="0.4">
      <c r="A37" s="240" t="str">
        <f>IF('User Inputs'!$B$9="Commercial","",
IF(OR('User Inputs'!$H$44="",'User Inputs'!$H$44=0),"",
IF('User Inputs'!$H$44&gt;3000,
"ECM cost per kW exceeds the MEA rate cap of $3,000/kW. Reduce project cost or increase system kW to lower the cost per kW.",
"ECM cost per kW is within the MEA rate cap of $3,000/kW."
)))</f>
        <v/>
      </c>
      <c r="B37" s="241"/>
      <c r="C37" s="241"/>
      <c r="D37" s="241"/>
      <c r="E37" s="241"/>
      <c r="F37" s="242"/>
      <c r="G37" s="81" t="s">
        <v>117</v>
      </c>
      <c r="H37" s="89">
        <f>'User Inputs'!$H$44</f>
        <v>0</v>
      </c>
      <c r="J37" s="189"/>
    </row>
    <row r="38" spans="1:10" ht="13.5" customHeight="1" x14ac:dyDescent="0.25">
      <c r="A38" s="38"/>
      <c r="B38" s="38"/>
      <c r="C38" s="38"/>
      <c r="D38" s="38"/>
      <c r="E38" s="38"/>
      <c r="F38" s="38"/>
      <c r="G38" s="38"/>
      <c r="H38" s="38"/>
      <c r="J38" s="13"/>
    </row>
    <row r="39" spans="1:10" ht="18" customHeight="1" x14ac:dyDescent="0.4">
      <c r="A39" s="28"/>
      <c r="B39" s="28"/>
      <c r="C39" s="28"/>
      <c r="D39" s="28"/>
      <c r="E39" s="28"/>
      <c r="F39" s="28"/>
      <c r="G39" s="28"/>
      <c r="H39" s="28"/>
    </row>
    <row r="40" spans="1:10" ht="7.5" customHeight="1" x14ac:dyDescent="0.25">
      <c r="A40" s="39"/>
      <c r="B40" s="39"/>
      <c r="C40" s="39"/>
      <c r="D40" s="39"/>
      <c r="E40" s="39"/>
      <c r="F40" s="39"/>
      <c r="G40" s="39"/>
      <c r="H40" s="39"/>
      <c r="J40" s="13"/>
    </row>
  </sheetData>
  <sheetProtection algorithmName="SHA-512" hashValue="9W0/4rrfB6tBWawT9jVUkw+hYeXIN3kWhYR2EvYK9MuzZTIXgdfw5m944e9BAG55B3iWTvnbTS3F9DC8SwI0Jw==" saltValue="OCM5MLdykHXJQL8IQxruWw==" spinCount="100000" sheet="1" objects="1" scenarios="1"/>
  <mergeCells count="7">
    <mergeCell ref="A3:H3"/>
    <mergeCell ref="A37:F37"/>
    <mergeCell ref="G25:G27"/>
    <mergeCell ref="H25:H27"/>
    <mergeCell ref="A27:B27"/>
    <mergeCell ref="C27:D27"/>
    <mergeCell ref="E27:F27"/>
  </mergeCells>
  <conditionalFormatting sqref="A37">
    <cfRule type="expression" dxfId="19" priority="341">
      <formula>$H$37&lt;=3000</formula>
    </cfRule>
    <cfRule type="expression" dxfId="18" priority="342">
      <formula>$H$37&gt;3000</formula>
    </cfRule>
  </conditionalFormatting>
  <conditionalFormatting sqref="A27:B27">
    <cfRule type="expression" dxfId="17" priority="7">
      <formula>$B$21&gt;0</formula>
    </cfRule>
    <cfRule type="expression" dxfId="16" priority="9">
      <formula>OR($B$21=0,$B$21="")</formula>
    </cfRule>
    <cfRule type="expression" dxfId="15" priority="14">
      <formula>OR(     ISNUMBER(SEARCH("exceeded the",$A$27)),     ISNUMBER(SEARCH("is below the",$A$27)) )</formula>
    </cfRule>
    <cfRule type="expression" dxfId="14" priority="15">
      <formula>ISNUMBER(SEARCH("within all program funding limits",$A$27))</formula>
    </cfRule>
  </conditionalFormatting>
  <conditionalFormatting sqref="C27:D27">
    <cfRule type="expression" dxfId="11" priority="6">
      <formula>$D$21&gt;0</formula>
    </cfRule>
    <cfRule type="expression" dxfId="10" priority="8">
      <formula>OR($D$21=0,$D$21="")</formula>
    </cfRule>
    <cfRule type="expression" dxfId="9" priority="12">
      <formula>OR(     ISNUMBER(SEARCH("exceeded the",$C$27)),     ISNUMBER(SEARCH("is below the",$C$27)) )</formula>
    </cfRule>
    <cfRule type="expression" dxfId="8" priority="13">
      <formula>ISNUMBER(SEARCH("within all program funding limits",$C$27))</formula>
    </cfRule>
  </conditionalFormatting>
  <conditionalFormatting sqref="E27:F27">
    <cfRule type="expression" dxfId="7" priority="4">
      <formula>$F$21&gt;0</formula>
    </cfRule>
    <cfRule type="expression" dxfId="6" priority="5">
      <formula>OR($F$21=0,$F$21="")</formula>
    </cfRule>
    <cfRule type="expression" dxfId="5" priority="10">
      <formula>OR(     ISNUMBER(SEARCH("exceeded the",$E$27)),     ISNUMBER(SEARCH("is below the",$E$27)) )</formula>
    </cfRule>
    <cfRule type="expression" dxfId="4" priority="11">
      <formula>ISNUMBER(SEARCH("within all program funding limits",$E$27))</formula>
    </cfRule>
  </conditionalFormatting>
  <conditionalFormatting sqref="H37">
    <cfRule type="expression" dxfId="1" priority="16">
      <formula>$H$37&gt;3000</formula>
    </cfRule>
    <cfRule type="expression" dxfId="0" priority="17">
      <formula>AND($H$37&gt;0,$H$37&lt;=3000)</formula>
    </cfRule>
  </conditionalFormatting>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04B79D0B-CC6D-46A0-84F8-C2E3C75E23AF}">
            <xm:f>'User Inputs'!$B$9="Commercial"</xm:f>
            <x14:dxf>
              <font>
                <color rgb="FFF0F9FA"/>
              </font>
              <fill>
                <patternFill>
                  <bgColor rgb="FFF0F9FA"/>
                </patternFill>
              </fill>
              <border>
                <right/>
                <top/>
                <bottom style="thin">
                  <color theme="0" tint="-0.24994659260841701"/>
                </bottom>
              </border>
            </x14:dxf>
          </x14:cfRule>
          <xm:sqref>A37:G37</xm:sqref>
        </x14:conditionalFormatting>
        <x14:conditionalFormatting xmlns:xm="http://schemas.microsoft.com/office/excel/2006/main">
          <x14:cfRule type="expression" priority="1" id="{10D36326-F04F-452C-B452-85063ABD96D3}">
            <xm:f>NOT('User Inputs'!$H$2)</xm:f>
            <x14:dxf>
              <font>
                <color rgb="FFF0F9FA"/>
              </font>
              <fill>
                <patternFill>
                  <bgColor rgb="FFF0F9FA"/>
                </patternFill>
              </fill>
              <border>
                <left/>
                <top/>
              </border>
            </x14:dxf>
          </x14:cfRule>
          <xm:sqref>A37:H37</xm:sqref>
        </x14:conditionalFormatting>
        <x14:conditionalFormatting xmlns:xm="http://schemas.microsoft.com/office/excel/2006/main">
          <x14:cfRule type="expression" priority="19" id="{447E9F7B-BDDA-424B-816E-DE999CCB6135}">
            <xm:f>'User Inputs'!$B$9="Commercial"</xm:f>
            <x14:dxf>
              <font>
                <color theme="0"/>
              </font>
              <fill>
                <patternFill>
                  <bgColor theme="0"/>
                </patternFill>
              </fill>
              <border>
                <right/>
                <bottom/>
              </border>
            </x14:dxf>
          </x14:cfRule>
          <xm:sqref>G37:H37 A37</xm:sqref>
        </x14:conditionalFormatting>
        <x14:conditionalFormatting xmlns:xm="http://schemas.microsoft.com/office/excel/2006/main">
          <x14:cfRule type="expression" priority="3" id="{FD060CCB-3152-4D8B-B8D7-EAF2FFDC2629}">
            <xm:f>'User Inputs'!$B$9="Commercial"</xm:f>
            <x14:dxf>
              <font>
                <color rgb="FFF0F9FA"/>
              </font>
              <fill>
                <patternFill>
                  <bgColor rgb="FFF0F9FA"/>
                </patternFill>
              </fill>
              <border>
                <right style="thin">
                  <color theme="0" tint="-0.24994659260841701"/>
                </right>
                <top/>
                <bottom style="thin">
                  <color theme="0" tint="-0.24994659260841701"/>
                </bottom>
              </border>
            </x14:dxf>
          </x14:cfRule>
          <xm:sqref>H37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ACC57-7760-4DF4-B57B-DDEC1704ABF4}">
  <sheetPr>
    <tabColor theme="0" tint="-0.34998626667073579"/>
  </sheetPr>
  <dimension ref="B1:H31"/>
  <sheetViews>
    <sheetView zoomScaleNormal="100" workbookViewId="0">
      <selection activeCell="G22" sqref="G22"/>
    </sheetView>
  </sheetViews>
  <sheetFormatPr defaultColWidth="8.85546875" defaultRowHeight="12.75" x14ac:dyDescent="0.2"/>
  <cols>
    <col min="2" max="2" width="20.42578125" bestFit="1" customWidth="1"/>
    <col min="3" max="3" width="14.42578125" bestFit="1" customWidth="1"/>
    <col min="4" max="4" width="16.42578125" bestFit="1" customWidth="1"/>
    <col min="5" max="6" width="12" bestFit="1" customWidth="1"/>
    <col min="7" max="7" width="63.42578125" bestFit="1" customWidth="1"/>
  </cols>
  <sheetData>
    <row r="1" spans="2:8" x14ac:dyDescent="0.2">
      <c r="B1" s="253" t="s">
        <v>17</v>
      </c>
      <c r="C1" s="253"/>
      <c r="D1" s="253"/>
      <c r="G1" s="8" t="s">
        <v>27</v>
      </c>
    </row>
    <row r="2" spans="2:8" ht="25.5" x14ac:dyDescent="0.2">
      <c r="B2" s="9" t="s">
        <v>12</v>
      </c>
      <c r="C2" s="9" t="s">
        <v>6</v>
      </c>
      <c r="D2" s="9" t="s">
        <v>21</v>
      </c>
    </row>
    <row r="3" spans="2:8" x14ac:dyDescent="0.2">
      <c r="B3" s="4" t="s">
        <v>5</v>
      </c>
      <c r="C3" s="4" t="s">
        <v>7</v>
      </c>
      <c r="D3" s="12">
        <f>(755.48*0.0004536)/1000</f>
        <v>3.4268572800000003E-4</v>
      </c>
      <c r="E3" s="10">
        <v>45778</v>
      </c>
      <c r="G3" s="1" t="s">
        <v>32</v>
      </c>
      <c r="H3" s="6" t="s">
        <v>33</v>
      </c>
    </row>
    <row r="4" spans="2:8" x14ac:dyDescent="0.2">
      <c r="B4" s="4" t="s">
        <v>8</v>
      </c>
      <c r="C4" s="4" t="s">
        <v>9</v>
      </c>
      <c r="D4" s="12">
        <v>5.3E-3</v>
      </c>
      <c r="G4" s="1"/>
      <c r="H4" s="7" t="s">
        <v>26</v>
      </c>
    </row>
    <row r="5" spans="2:8" x14ac:dyDescent="0.2">
      <c r="B5" s="4" t="s">
        <v>37</v>
      </c>
      <c r="C5" s="4" t="s">
        <v>10</v>
      </c>
      <c r="D5" s="12">
        <v>5.7400000000000003E-3</v>
      </c>
      <c r="G5" s="1"/>
      <c r="H5" s="7"/>
    </row>
    <row r="6" spans="2:8" x14ac:dyDescent="0.2">
      <c r="B6" s="4" t="s">
        <v>11</v>
      </c>
      <c r="C6" s="4" t="s">
        <v>10</v>
      </c>
      <c r="D6" s="12">
        <v>1.0282609999999999E-2</v>
      </c>
      <c r="H6" s="7" t="s">
        <v>26</v>
      </c>
    </row>
    <row r="7" spans="2:8" x14ac:dyDescent="0.2">
      <c r="B7" s="4" t="s">
        <v>19</v>
      </c>
      <c r="C7" s="4" t="s">
        <v>20</v>
      </c>
      <c r="D7" s="5">
        <v>6.6400000000000001E-2</v>
      </c>
      <c r="G7" s="1" t="s">
        <v>29</v>
      </c>
      <c r="H7" s="6" t="s">
        <v>28</v>
      </c>
    </row>
    <row r="8" spans="2:8" x14ac:dyDescent="0.2">
      <c r="B8" s="3"/>
      <c r="C8" s="3"/>
      <c r="D8" s="2"/>
    </row>
    <row r="10" spans="2:8" x14ac:dyDescent="0.2">
      <c r="B10" s="250" t="s">
        <v>16</v>
      </c>
      <c r="C10" s="251"/>
      <c r="D10" s="252"/>
    </row>
    <row r="11" spans="2:8" x14ac:dyDescent="0.2">
      <c r="B11" s="9" t="s">
        <v>12</v>
      </c>
      <c r="C11" s="9" t="s">
        <v>6</v>
      </c>
      <c r="D11" s="9" t="s">
        <v>13</v>
      </c>
    </row>
    <row r="12" spans="2:8" x14ac:dyDescent="0.2">
      <c r="B12" s="4" t="s">
        <v>5</v>
      </c>
      <c r="C12" s="4" t="s">
        <v>7</v>
      </c>
      <c r="D12" s="11">
        <v>0.18190000000000001</v>
      </c>
      <c r="E12" s="10">
        <v>46023</v>
      </c>
      <c r="G12" s="1" t="s">
        <v>22</v>
      </c>
      <c r="H12" s="6" t="s">
        <v>23</v>
      </c>
    </row>
    <row r="13" spans="2:8" x14ac:dyDescent="0.2">
      <c r="B13" s="4" t="s">
        <v>8</v>
      </c>
      <c r="C13" s="4" t="s">
        <v>9</v>
      </c>
      <c r="D13" s="11">
        <v>0.77170000000000005</v>
      </c>
      <c r="E13" s="10">
        <v>46023</v>
      </c>
      <c r="G13" s="1" t="s">
        <v>24</v>
      </c>
      <c r="H13" s="6" t="s">
        <v>23</v>
      </c>
    </row>
    <row r="14" spans="2:8" x14ac:dyDescent="0.2">
      <c r="B14" s="4" t="s">
        <v>37</v>
      </c>
      <c r="C14" s="4" t="s">
        <v>10</v>
      </c>
      <c r="D14" s="11">
        <v>1.22</v>
      </c>
      <c r="E14" s="10">
        <v>46082</v>
      </c>
      <c r="G14" s="1"/>
      <c r="H14" s="6"/>
    </row>
    <row r="15" spans="2:8" ht="12.75" customHeight="1" x14ac:dyDescent="0.2">
      <c r="B15" s="4" t="s">
        <v>11</v>
      </c>
      <c r="C15" s="4" t="s">
        <v>10</v>
      </c>
      <c r="D15" s="11">
        <v>4.6120000000000001</v>
      </c>
      <c r="E15" s="10">
        <v>46082</v>
      </c>
      <c r="H15" s="7" t="s">
        <v>31</v>
      </c>
    </row>
    <row r="18" spans="2:4" ht="38.25" x14ac:dyDescent="0.2">
      <c r="B18" s="9" t="s">
        <v>68</v>
      </c>
      <c r="C18" s="9" t="s">
        <v>69</v>
      </c>
      <c r="D18" s="9" t="s">
        <v>70</v>
      </c>
    </row>
    <row r="19" spans="2:4" ht="25.5" x14ac:dyDescent="0.2">
      <c r="B19" s="4" t="s">
        <v>72</v>
      </c>
      <c r="C19" s="4"/>
      <c r="D19" s="4"/>
    </row>
    <row r="20" spans="2:4" ht="25.5" x14ac:dyDescent="0.2">
      <c r="B20" s="4" t="s">
        <v>136</v>
      </c>
      <c r="C20" s="4">
        <v>15</v>
      </c>
      <c r="D20" s="4" t="s">
        <v>47</v>
      </c>
    </row>
    <row r="21" spans="2:4" ht="25.5" x14ac:dyDescent="0.2">
      <c r="B21" s="4" t="s">
        <v>137</v>
      </c>
      <c r="C21" s="4">
        <v>15</v>
      </c>
      <c r="D21" s="4" t="s">
        <v>48</v>
      </c>
    </row>
    <row r="22" spans="2:4" ht="38.25" x14ac:dyDescent="0.2">
      <c r="B22" s="4" t="s">
        <v>135</v>
      </c>
      <c r="C22" s="4">
        <v>12</v>
      </c>
      <c r="D22" s="4" t="s">
        <v>47</v>
      </c>
    </row>
    <row r="23" spans="2:4" ht="38.25" x14ac:dyDescent="0.2">
      <c r="B23" s="4" t="s">
        <v>138</v>
      </c>
      <c r="C23" s="4">
        <v>12</v>
      </c>
      <c r="D23" s="4" t="s">
        <v>48</v>
      </c>
    </row>
    <row r="24" spans="2:4" ht="25.5" x14ac:dyDescent="0.2">
      <c r="B24" s="4" t="s">
        <v>64</v>
      </c>
      <c r="C24" s="4">
        <v>15</v>
      </c>
      <c r="D24" s="4" t="s">
        <v>47</v>
      </c>
    </row>
    <row r="25" spans="2:4" x14ac:dyDescent="0.2">
      <c r="B25" s="4" t="s">
        <v>62</v>
      </c>
      <c r="C25" s="4">
        <v>25</v>
      </c>
      <c r="D25" s="4" t="s">
        <v>48</v>
      </c>
    </row>
    <row r="26" spans="2:4" x14ac:dyDescent="0.2">
      <c r="B26" s="4" t="s">
        <v>63</v>
      </c>
      <c r="C26" s="4">
        <v>15</v>
      </c>
      <c r="D26" s="4" t="s">
        <v>48</v>
      </c>
    </row>
    <row r="27" spans="2:4" x14ac:dyDescent="0.2">
      <c r="B27" s="4" t="s">
        <v>65</v>
      </c>
      <c r="C27" s="4">
        <v>25</v>
      </c>
      <c r="D27" s="4" t="s">
        <v>48</v>
      </c>
    </row>
    <row r="28" spans="2:4" ht="25.5" x14ac:dyDescent="0.2">
      <c r="B28" s="4" t="s">
        <v>66</v>
      </c>
      <c r="C28" s="4">
        <v>10</v>
      </c>
      <c r="D28" s="4" t="s">
        <v>48</v>
      </c>
    </row>
    <row r="29" spans="2:4" x14ac:dyDescent="0.2">
      <c r="B29" s="4" t="s">
        <v>67</v>
      </c>
      <c r="C29" s="4">
        <v>5</v>
      </c>
      <c r="D29" s="4" t="s">
        <v>48</v>
      </c>
    </row>
    <row r="30" spans="2:4" x14ac:dyDescent="0.2">
      <c r="B30" s="4" t="s">
        <v>49</v>
      </c>
      <c r="C30" s="4">
        <v>25</v>
      </c>
      <c r="D30" s="4" t="s">
        <v>49</v>
      </c>
    </row>
    <row r="31" spans="2:4" x14ac:dyDescent="0.2">
      <c r="B31" s="4" t="s">
        <v>61</v>
      </c>
      <c r="C31" s="4">
        <v>25</v>
      </c>
      <c r="D31" s="4" t="s">
        <v>49</v>
      </c>
    </row>
  </sheetData>
  <sheetProtection algorithmName="SHA-512" hashValue="Lq/361xhE+kdPESAAVrfWe+41R3BId11SKQICMpbbCat4InU6xO7dzIoIsGWIc3/HdtbapddMAfldsDE/RUvKA==" saltValue="4W+Q3APFCTFP01mqUFIAaA==" spinCount="100000" sheet="1" objects="1" scenarios="1"/>
  <mergeCells count="2">
    <mergeCell ref="B10:D10"/>
    <mergeCell ref="B1:D1"/>
  </mergeCells>
  <hyperlinks>
    <hyperlink ref="H4" r:id="rId1" xr:uid="{0C6F019F-9DD0-4976-BD76-FE56A2934D80}"/>
    <hyperlink ref="H6" r:id="rId2" xr:uid="{9E627E59-3014-4AC5-81D7-FBEC0533B1B6}"/>
    <hyperlink ref="H7" r:id="rId3" location=":~:text=Emissions%20are%20calculated%20by%20multiplying%20the%20site,a%20single%20carbon%20dioxide%20equivalent%20(CO2e)%20number." xr:uid="{6D8D635A-005F-4F89-84BB-58A8AD95A690}"/>
    <hyperlink ref="H3" r:id="rId4" xr:uid="{1434C582-0126-4B44-9E55-2839AB44CD21}"/>
    <hyperlink ref="H15" r:id="rId5" xr:uid="{3FFA31A1-CBF2-414A-9B96-6D60FC16BD8F}"/>
    <hyperlink ref="H13" r:id="rId6" xr:uid="{E47217D0-464E-41D4-95E2-27A7B2A041E5}"/>
    <hyperlink ref="H12" r:id="rId7" xr:uid="{9BE07969-D6DB-4A14-9557-9963883DA484}"/>
  </hyperlinks>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6D0A7-83D9-4040-B203-597AC1393D88}">
  <sheetPr>
    <tabColor theme="0" tint="-0.34998626667073579"/>
  </sheetPr>
  <dimension ref="A1:D28"/>
  <sheetViews>
    <sheetView topLeftCell="A6" zoomScaleNormal="100" workbookViewId="0">
      <selection activeCell="C28" sqref="C28"/>
    </sheetView>
  </sheetViews>
  <sheetFormatPr defaultRowHeight="12.75" x14ac:dyDescent="0.2"/>
  <cols>
    <col min="1" max="1" width="25.140625" bestFit="1" customWidth="1"/>
    <col min="2" max="2" width="15.85546875" bestFit="1" customWidth="1"/>
    <col min="3" max="3" width="26" bestFit="1" customWidth="1"/>
    <col min="4" max="4" width="24.5703125" bestFit="1" customWidth="1"/>
    <col min="5" max="5" width="10.28515625" bestFit="1" customWidth="1"/>
  </cols>
  <sheetData>
    <row r="1" spans="1:4" ht="43.5" customHeight="1" x14ac:dyDescent="0.25">
      <c r="B1" s="254" t="s">
        <v>146</v>
      </c>
      <c r="C1" s="255"/>
      <c r="D1" s="255"/>
    </row>
    <row r="3" spans="1:4" ht="13.5" x14ac:dyDescent="0.25">
      <c r="A3" s="190" t="s">
        <v>46</v>
      </c>
      <c r="B3" s="191" t="s">
        <v>47</v>
      </c>
      <c r="C3" s="191" t="s">
        <v>48</v>
      </c>
      <c r="D3" s="191" t="s">
        <v>49</v>
      </c>
    </row>
    <row r="4" spans="1:4" ht="13.5" x14ac:dyDescent="0.25">
      <c r="A4" s="192" t="s">
        <v>50</v>
      </c>
      <c r="B4" s="193">
        <v>300</v>
      </c>
      <c r="C4" s="193">
        <v>300</v>
      </c>
      <c r="D4" s="194">
        <v>0</v>
      </c>
    </row>
    <row r="5" spans="1:4" ht="13.5" x14ac:dyDescent="0.25">
      <c r="A5" s="192" t="s">
        <v>51</v>
      </c>
      <c r="B5" s="195">
        <v>50000</v>
      </c>
      <c r="C5" s="196">
        <v>50000</v>
      </c>
      <c r="D5" s="197"/>
    </row>
    <row r="6" spans="1:4" ht="13.5" x14ac:dyDescent="0.25">
      <c r="A6" s="198" t="s">
        <v>52</v>
      </c>
      <c r="B6" s="199">
        <v>2000000</v>
      </c>
      <c r="C6" s="200">
        <v>1000000</v>
      </c>
      <c r="D6" s="201"/>
    </row>
    <row r="7" spans="1:4" ht="13.5" x14ac:dyDescent="0.25">
      <c r="A7" s="198" t="s">
        <v>125</v>
      </c>
      <c r="B7" s="202">
        <v>1</v>
      </c>
      <c r="C7" s="203">
        <v>0.85</v>
      </c>
      <c r="D7" s="203"/>
    </row>
    <row r="8" spans="1:4" ht="13.5" x14ac:dyDescent="0.25">
      <c r="A8" s="13"/>
      <c r="B8" s="13"/>
      <c r="C8" s="13"/>
      <c r="D8" s="13"/>
    </row>
    <row r="9" spans="1:4" ht="13.5" x14ac:dyDescent="0.25">
      <c r="A9" s="13"/>
      <c r="B9" s="13"/>
      <c r="C9" s="13"/>
      <c r="D9" s="13"/>
    </row>
    <row r="10" spans="1:4" ht="13.5" x14ac:dyDescent="0.25">
      <c r="A10" s="190" t="s">
        <v>53</v>
      </c>
      <c r="B10" s="191" t="s">
        <v>47</v>
      </c>
      <c r="C10" s="191" t="s">
        <v>48</v>
      </c>
      <c r="D10" s="191" t="s">
        <v>49</v>
      </c>
    </row>
    <row r="11" spans="1:4" ht="13.5" x14ac:dyDescent="0.25">
      <c r="A11" s="192" t="s">
        <v>50</v>
      </c>
      <c r="B11" s="204">
        <v>450</v>
      </c>
      <c r="C11" s="205">
        <v>250</v>
      </c>
      <c r="D11" s="197">
        <v>55</v>
      </c>
    </row>
    <row r="12" spans="1:4" ht="13.5" x14ac:dyDescent="0.25">
      <c r="A12" s="192" t="s">
        <v>51</v>
      </c>
      <c r="B12" s="195">
        <v>50000</v>
      </c>
      <c r="C12" s="195">
        <v>50000</v>
      </c>
      <c r="D12" s="195">
        <v>50000</v>
      </c>
    </row>
    <row r="13" spans="1:4" ht="13.5" x14ac:dyDescent="0.25">
      <c r="A13" s="198" t="s">
        <v>52</v>
      </c>
      <c r="B13" s="195">
        <v>3000000</v>
      </c>
      <c r="C13" s="195">
        <v>3000000</v>
      </c>
      <c r="D13" s="195">
        <v>3000000</v>
      </c>
    </row>
    <row r="14" spans="1:4" ht="13.5" x14ac:dyDescent="0.25">
      <c r="A14" s="198" t="s">
        <v>125</v>
      </c>
      <c r="B14" s="202">
        <v>1</v>
      </c>
      <c r="C14" s="203">
        <v>1</v>
      </c>
      <c r="D14" s="203">
        <v>1</v>
      </c>
    </row>
    <row r="15" spans="1:4" ht="13.5" x14ac:dyDescent="0.25">
      <c r="A15" s="13"/>
      <c r="B15" s="13"/>
      <c r="C15" s="13"/>
      <c r="D15" s="13"/>
    </row>
    <row r="16" spans="1:4" ht="13.5" x14ac:dyDescent="0.25">
      <c r="A16" s="13"/>
      <c r="B16" s="13"/>
      <c r="C16" s="13"/>
      <c r="D16" s="13"/>
    </row>
    <row r="17" spans="1:4" ht="13.5" x14ac:dyDescent="0.25">
      <c r="A17" s="190" t="s">
        <v>54</v>
      </c>
      <c r="B17" s="191" t="s">
        <v>47</v>
      </c>
      <c r="C17" s="191" t="s">
        <v>48</v>
      </c>
      <c r="D17" s="191" t="s">
        <v>49</v>
      </c>
    </row>
    <row r="18" spans="1:4" ht="13.5" x14ac:dyDescent="0.25">
      <c r="A18" s="192" t="s">
        <v>50</v>
      </c>
      <c r="B18" s="204">
        <v>200</v>
      </c>
      <c r="C18" s="205">
        <v>150</v>
      </c>
      <c r="D18" s="197">
        <v>150</v>
      </c>
    </row>
    <row r="19" spans="1:4" ht="13.5" x14ac:dyDescent="0.25">
      <c r="A19" s="192" t="s">
        <v>51</v>
      </c>
      <c r="B19" s="195">
        <v>50000</v>
      </c>
      <c r="C19" s="195">
        <v>50000</v>
      </c>
      <c r="D19" s="195">
        <v>50000</v>
      </c>
    </row>
    <row r="20" spans="1:4" ht="13.5" x14ac:dyDescent="0.25">
      <c r="A20" s="198" t="s">
        <v>52</v>
      </c>
      <c r="B20" s="195">
        <v>2000000</v>
      </c>
      <c r="C20" s="195">
        <v>2000000</v>
      </c>
      <c r="D20" s="195">
        <v>2000000</v>
      </c>
    </row>
    <row r="21" spans="1:4" ht="13.5" x14ac:dyDescent="0.25">
      <c r="A21" s="198" t="s">
        <v>125</v>
      </c>
      <c r="B21" s="202">
        <v>1</v>
      </c>
      <c r="C21" s="203">
        <v>1</v>
      </c>
      <c r="D21" s="203">
        <v>1</v>
      </c>
    </row>
    <row r="22" spans="1:4" ht="13.5" x14ac:dyDescent="0.25">
      <c r="A22" s="13"/>
      <c r="B22" s="13"/>
      <c r="C22" s="13"/>
      <c r="D22" s="13"/>
    </row>
    <row r="23" spans="1:4" ht="13.5" x14ac:dyDescent="0.25">
      <c r="A23" s="13"/>
      <c r="B23" s="13"/>
      <c r="C23" s="13"/>
      <c r="D23" s="13"/>
    </row>
    <row r="24" spans="1:4" ht="13.5" x14ac:dyDescent="0.25">
      <c r="A24" s="190" t="s">
        <v>71</v>
      </c>
      <c r="B24" s="191" t="s">
        <v>47</v>
      </c>
      <c r="C24" s="191" t="s">
        <v>48</v>
      </c>
      <c r="D24" s="191" t="s">
        <v>49</v>
      </c>
    </row>
    <row r="25" spans="1:4" ht="13.5" x14ac:dyDescent="0.25">
      <c r="A25" s="192" t="s">
        <v>50</v>
      </c>
      <c r="B25" s="193">
        <f t="shared" ref="B25:C27" si="0">B4</f>
        <v>300</v>
      </c>
      <c r="C25" s="193">
        <f t="shared" si="0"/>
        <v>300</v>
      </c>
      <c r="D25" s="194">
        <v>75</v>
      </c>
    </row>
    <row r="26" spans="1:4" ht="13.5" x14ac:dyDescent="0.25">
      <c r="A26" s="192" t="s">
        <v>51</v>
      </c>
      <c r="B26" s="195">
        <f>B5</f>
        <v>50000</v>
      </c>
      <c r="C26" s="196">
        <f t="shared" si="0"/>
        <v>50000</v>
      </c>
      <c r="D26" s="195">
        <v>50000</v>
      </c>
    </row>
    <row r="27" spans="1:4" ht="13.5" x14ac:dyDescent="0.25">
      <c r="A27" s="198" t="s">
        <v>52</v>
      </c>
      <c r="B27" s="195">
        <f t="shared" si="0"/>
        <v>2000000</v>
      </c>
      <c r="C27" s="196">
        <f t="shared" si="0"/>
        <v>1000000</v>
      </c>
      <c r="D27" s="195">
        <v>2500000</v>
      </c>
    </row>
    <row r="28" spans="1:4" ht="13.5" x14ac:dyDescent="0.25">
      <c r="A28" s="198" t="s">
        <v>125</v>
      </c>
      <c r="B28" s="202">
        <v>1</v>
      </c>
      <c r="C28" s="203">
        <v>0.85</v>
      </c>
      <c r="D28" s="203">
        <v>1</v>
      </c>
    </row>
  </sheetData>
  <sheetProtection algorithmName="SHA-512" hashValue="twYUHwa15feA37FgLuUVdjxjO7QmUxyS3fYUiRtu3TjaDIMcqFU1Hhhlg4mxoMHrhTo/jAWonY/WdD3Z4+grXg==" saltValue="6Qk5e555Atcf2TI1tPv8wA==" spinCount="100000" sheet="1" objects="1" scenarios="1"/>
  <mergeCells count="1">
    <mergeCell ref="B1:D1"/>
  </mergeCells>
  <phoneticPr fontId="7" type="noConversion"/>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96463BC55611C469CEDABDE6104E5EF" ma:contentTypeVersion="1" ma:contentTypeDescription="Create a new document." ma:contentTypeScope="" ma:versionID="599a758b4d8c3a9727cb2e42395f621f">
  <xsd:schema xmlns:xsd="http://www.w3.org/2001/XMLSchema" xmlns:xs="http://www.w3.org/2001/XMLSchema" xmlns:p="http://schemas.microsoft.com/office/2006/metadata/properties" targetNamespace="http://schemas.microsoft.com/office/2006/metadata/properties" ma:root="true" ma:fieldsID="7dcc10a156eb2aa295318eab019ded2b">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5B065E-D635-4298-A33F-C2814AB23463}">
  <ds:schemaRefs>
    <ds:schemaRef ds:uri="http://www.w3.org/XML/1998/namespace"/>
    <ds:schemaRef ds:uri="b77612ce-33e4-4e80-a4f2-9174949c1b51"/>
    <ds:schemaRef ds:uri="http://schemas.microsoft.com/office/2006/metadata/properties"/>
    <ds:schemaRef ds:uri="http://purl.org/dc/elements/1.1/"/>
    <ds:schemaRef ds:uri="http://purl.org/dc/terms/"/>
    <ds:schemaRef ds:uri="c73627f2-9386-4f44-93bc-51c4e68b30c8"/>
    <ds:schemaRef ds:uri="http://schemas.microsoft.com/office/2006/documentManagement/types"/>
    <ds:schemaRef ds:uri="http://purl.org/dc/dcmitype/"/>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A4C94D4A-476F-402D-857F-4452EB3F0507}"/>
</file>

<file path=customXml/itemProps3.xml><?xml version="1.0" encoding="utf-8"?>
<ds:datastoreItem xmlns:ds="http://schemas.openxmlformats.org/officeDocument/2006/customXml" ds:itemID="{A934C657-BD67-47EE-A4FF-BF6BFD1A9C0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vt:lpstr>
      <vt:lpstr>User Inputs</vt:lpstr>
      <vt:lpstr>Calculated Metrics</vt:lpstr>
      <vt:lpstr>Lookups</vt:lpstr>
      <vt:lpstr>MEA Incentives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Emmanuel Iddio</cp:lastModifiedBy>
  <dcterms:created xsi:type="dcterms:W3CDTF">2026-05-06T14:00:16Z</dcterms:created>
  <dcterms:modified xsi:type="dcterms:W3CDTF">2026-06-08T21:41:08Z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0x010100A96463BC55611C469CEDABDE6104E5EF</vt:lpwstr>
  </property>
  <property fmtid="{D5CDD505-2E9C-101B-9397-08002B2CF9AE}" pid="3" name="MediaServiceImageTags">
    <vt:lpwstr/>
  </property>
</Properties>
</file>