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egan.lackay\Desktop\Final FY27 CCB Calculator_Updated 091426\"/>
    </mc:Choice>
  </mc:AlternateContent>
  <xr:revisionPtr revIDLastSave="0" documentId="8_{B985ABFA-61CA-45EC-A4EB-2B389F2F52DF}" xr6:coauthVersionLast="47" xr6:coauthVersionMax="47" xr10:uidLastSave="{00000000-0000-0000-0000-000000000000}"/>
  <bookViews>
    <workbookView xWindow="-108" yWindow="-108" windowWidth="23256" windowHeight="12456" xr2:uid="{00000000-000D-0000-FFFF-FFFF00000000}"/>
  </bookViews>
  <sheets>
    <sheet name="Instructions" sheetId="12" r:id="rId1"/>
    <sheet name="User Inputs" sheetId="11" r:id="rId2"/>
    <sheet name="Budget &amp; Timeline" sheetId="15" r:id="rId3"/>
    <sheet name="Calculated Metrics" sheetId="14" r:id="rId4"/>
    <sheet name="Embedded Values" sheetId="5" r:id="rId5"/>
    <sheet name="MEA Incentives" sheetId="6" r:id="rId6"/>
    <sheet name="Updates Log" sheetId="18" r:id="rId7"/>
    <sheet name="Dev. Notes" sheetId="16" state="hidden" r:id="rId8"/>
  </sheets>
  <definedNames>
    <definedName name="Active_ECMs">CHOOSE({1,2,3,4}, 'User Inputs'!$B$34, 'User Inputs'!$D$34, 'User Inputs'!$F$34, 'User Inputs'!$H$34 )</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6" l="1" a="1"/>
  <c r="C36" i="16" s="1"/>
  <c r="B72" i="11"/>
  <c r="B25" i="16"/>
  <c r="A66" i="11"/>
  <c r="A59" i="11"/>
  <c r="C35" i="16" a="1"/>
  <c r="C33" i="16" a="1"/>
  <c r="J8" i="14"/>
  <c r="H8" i="14"/>
  <c r="F8" i="14"/>
  <c r="D8" i="14"/>
  <c r="B8" i="14" a="1"/>
  <c r="B16" i="14" a="1"/>
  <c r="F36" i="14" a="1"/>
  <c r="J12" i="14" a="1"/>
  <c r="E30" i="14" l="1"/>
  <c r="E28" i="14"/>
  <c r="F22" i="14" a="1"/>
  <c r="D6" i="15" l="1"/>
  <c r="B6" i="15"/>
  <c r="D36" i="14" l="1"/>
  <c r="B36" i="14"/>
  <c r="D38" i="14"/>
  <c r="B38" i="14"/>
  <c r="B24" i="14" l="1" a="1"/>
  <c r="D24" i="14" a="1"/>
  <c r="H16" i="14"/>
  <c r="F16" i="14"/>
  <c r="D22" i="14"/>
  <c r="B22" i="14"/>
  <c r="J16" i="14" l="1"/>
  <c r="D16" i="14"/>
  <c r="D28" i="11" l="1"/>
  <c r="C18" i="14"/>
  <c r="A18" i="14"/>
  <c r="B18" i="14" l="1"/>
  <c r="J28" i="11"/>
  <c r="H28" i="11"/>
  <c r="F28" i="11"/>
  <c r="B28" i="11"/>
  <c r="A47" i="11" l="1"/>
  <c r="A41" i="11"/>
  <c r="A43" i="11"/>
  <c r="A45" i="11"/>
  <c r="B43" i="6"/>
  <c r="I45" i="11" l="1"/>
  <c r="G45" i="11"/>
  <c r="E41" i="11"/>
  <c r="G41" i="11"/>
  <c r="C52" i="11"/>
  <c r="G43" i="11"/>
  <c r="G52" i="11"/>
  <c r="G47" i="11"/>
  <c r="C47" i="11"/>
  <c r="I47" i="11"/>
  <c r="E47" i="11"/>
  <c r="E52" i="11"/>
  <c r="I41" i="11"/>
  <c r="A52" i="11"/>
  <c r="E45" i="11"/>
  <c r="C45" i="11"/>
  <c r="C43" i="11"/>
  <c r="E43" i="11"/>
  <c r="I43" i="11"/>
  <c r="C41" i="11"/>
  <c r="C43" i="6" l="1"/>
  <c r="C35" i="16" l="1"/>
  <c r="C33" i="16"/>
  <c r="C34" i="16" s="1"/>
  <c r="F36" i="14"/>
  <c r="D24" i="14"/>
  <c r="B24" i="14"/>
  <c r="F22" i="14"/>
  <c r="B16" i="14"/>
  <c r="J12" i="14"/>
  <c r="B8" i="14"/>
  <c r="H18" i="14" l="1"/>
  <c r="J18" i="14" s="1"/>
  <c r="H72" i="11" s="1"/>
  <c r="D72" i="11"/>
  <c r="D18" i="14" s="1"/>
  <c r="F38" i="14"/>
  <c r="J38" i="14" s="1"/>
  <c r="J36" i="14"/>
  <c r="G22" i="14" a="1"/>
  <c r="G22" i="14" s="1"/>
  <c r="B26" i="14" a="1"/>
  <c r="B26" i="14" s="1"/>
  <c r="C40" i="16"/>
  <c r="C38" i="16"/>
  <c r="C42" i="16" s="1" a="1"/>
  <c r="C37" i="16"/>
  <c r="C41" i="16" s="1" a="1"/>
  <c r="C41" i="16" s="1"/>
  <c r="J65" i="11" s="1"/>
  <c r="F28" i="14" s="1"/>
  <c r="C39" i="16"/>
  <c r="G24" i="14" a="1"/>
  <c r="G24" i="14" s="1"/>
  <c r="D26" i="14" a="1"/>
  <c r="D26" i="14" s="1"/>
  <c r="F72" i="11" l="1"/>
  <c r="C45" i="16" a="1"/>
  <c r="C45" i="16" s="1"/>
  <c r="C43" i="16" a="1"/>
  <c r="C43" i="16" s="1"/>
  <c r="A65" i="11" a="1"/>
  <c r="C47" i="16"/>
  <c r="C46" i="16" a="1"/>
  <c r="C46" i="16" s="1"/>
  <c r="C44" i="16" a="1"/>
  <c r="C44" i="16" s="1"/>
  <c r="C42" i="16"/>
  <c r="C49" i="16" s="1"/>
  <c r="C50" i="16" s="1"/>
  <c r="J67" i="11" l="1"/>
  <c r="A67" i="11" s="1" a="1"/>
  <c r="C48" i="16"/>
  <c r="F26" i="14" s="1"/>
  <c r="F32" i="14" s="1" a="1"/>
  <c r="A65" i="11"/>
  <c r="G28" i="14" s="1"/>
  <c r="F24" i="14" a="1"/>
  <c r="F24" i="14" s="1"/>
  <c r="F30" i="14" l="1"/>
  <c r="G26" i="14" a="1"/>
  <c r="G26" i="14" s="1"/>
  <c r="A67" i="11"/>
  <c r="G30" i="14" s="1"/>
  <c r="F32" i="14"/>
  <c r="G32" i="14" s="1"/>
  <c r="J72" i="11" l="1"/>
  <c r="C18" i="15"/>
  <c r="C19" i="15" l="1"/>
  <c r="E18" i="15" s="1"/>
  <c r="E31" i="15"/>
  <c r="E14" i="15" l="1"/>
  <c r="E17" i="15"/>
  <c r="E12" i="15"/>
  <c r="E11" i="15"/>
  <c r="E13" i="15"/>
  <c r="E15" i="15"/>
  <c r="E16" i="15"/>
  <c r="E19"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Emmanuel Iddio</author>
  </authors>
  <commentList>
    <comment ref="G8" authorId="0" shapeId="0" xr:uid="{09DCC1EF-F36D-4EE6-963D-16B10C3FAFC1}">
      <text>
        <r>
          <rPr>
            <sz val="11"/>
            <color indexed="81"/>
            <rFont val="Tahoma"/>
            <family val="2"/>
          </rPr>
          <t>This field is required only for State BEPS-covered buildings.</t>
        </r>
      </text>
    </comment>
    <comment ref="I8" authorId="0" shapeId="0" xr:uid="{D770F01B-FC67-4A45-A9A3-D4DE74775298}">
      <text>
        <r>
          <rPr>
            <sz val="11"/>
            <color indexed="81"/>
            <rFont val="Tahoma"/>
            <family val="2"/>
          </rPr>
          <t>This field is required only for Montgomery County BEPS-covered buildings.</t>
        </r>
      </text>
    </comment>
    <comment ref="I23" authorId="0" shapeId="0" xr:uid="{2788C05B-502D-4531-B961-E67581EAA29D}">
      <text>
        <r>
          <rPr>
            <sz val="12"/>
            <color indexed="81"/>
            <rFont val="Tahoma"/>
            <family val="2"/>
          </rPr>
          <t>A ton of coal in this calculator refers to a short ton which equates to 2000 lbs</t>
        </r>
      </text>
    </comment>
    <comment ref="B39" authorId="0" shapeId="0" xr:uid="{70E0E98C-45C2-4D37-973C-90C093CE8BAF}">
      <text>
        <r>
          <rPr>
            <sz val="11"/>
            <color indexed="81"/>
            <rFont val="Tahoma"/>
            <family val="2"/>
          </rPr>
          <t>For electrification upgrades, electricity use is expected to increase, and the data under this field may be entered as a negative value for electricity use increases.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Emmanuel Iddio</author>
  </authors>
  <commentList>
    <comment ref="C17" authorId="0" shapeId="0" xr:uid="{EC903DB1-7072-4C81-84BB-DC9060F5A738}">
      <text>
        <r>
          <rPr>
            <sz val="12"/>
            <color indexed="81"/>
            <rFont val="Tahoma"/>
            <family val="2"/>
          </rPr>
          <t>A ton of coal in this calculator refers to a short ton which equates to 2000 lbs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<sst xmlns="http://schemas.openxmlformats.org/spreadsheetml/2006/main" count="456" uniqueCount="338">
  <si>
    <t>Electricity Consumption (kWh/year)</t>
  </si>
  <si>
    <t>Natural Gas Consumption (therms/year)</t>
  </si>
  <si>
    <t>Fuel Oil #2 Consumption (gallons/year)</t>
  </si>
  <si>
    <t>Annual Cost Savings ($/year)</t>
  </si>
  <si>
    <t>Electricity</t>
  </si>
  <si>
    <t>Unit</t>
  </si>
  <si>
    <t>kWh</t>
  </si>
  <si>
    <t>Natural Gas</t>
  </si>
  <si>
    <t>therm</t>
  </si>
  <si>
    <t>gallon</t>
  </si>
  <si>
    <t>Fuel Oil #2 (heating oil)</t>
  </si>
  <si>
    <t>Fuel</t>
  </si>
  <si>
    <t>Cost ($/unit)</t>
  </si>
  <si>
    <t>Natural Gas  (therms/year)</t>
  </si>
  <si>
    <t>Fuel Oil #2  (gallons/year)</t>
  </si>
  <si>
    <t>EMISSIONS FACTORS</t>
  </si>
  <si>
    <t>Emissions Factor 
(MT CO2e/unit)</t>
  </si>
  <si>
    <t>Commercial cost</t>
  </si>
  <si>
    <t>https://www.eia.gov/state/data.php?sid=MD</t>
  </si>
  <si>
    <t>City Gate cost</t>
  </si>
  <si>
    <t>Simple Payback Period (years)</t>
  </si>
  <si>
    <t>SOURCE</t>
  </si>
  <si>
    <t>https://www.eia.gov/dnav/pet/hist/LeafHandler.ashx?n=PET&amp;s=W_EPD2F_PWR_SMD_DPG&amp;f=W</t>
  </si>
  <si>
    <t>Propane Consumption (gallons/year)</t>
  </si>
  <si>
    <t>Propane (gallons/year)</t>
  </si>
  <si>
    <t>Electricity (kWh/year)</t>
  </si>
  <si>
    <t>Propane</t>
  </si>
  <si>
    <t>Description</t>
  </si>
  <si>
    <t>Total ECM Projects Cost ($)</t>
  </si>
  <si>
    <t>Commercial Buildings</t>
  </si>
  <si>
    <t>Electrification</t>
  </si>
  <si>
    <t>Energy Efficiency</t>
  </si>
  <si>
    <t>Solar</t>
  </si>
  <si>
    <t>Minimum Grant Amount</t>
  </si>
  <si>
    <t>Maximum Grant Amount</t>
  </si>
  <si>
    <t>Local Governments</t>
  </si>
  <si>
    <t>Refrigeration Equipment</t>
  </si>
  <si>
    <t>Mechanical Insulation</t>
  </si>
  <si>
    <t>Building Automation Systems/Controls</t>
  </si>
  <si>
    <t>ECM Type</t>
  </si>
  <si>
    <t>Expected Useful Life (Years)</t>
  </si>
  <si>
    <t>Project Category</t>
  </si>
  <si>
    <t>[Select an ECM from the dropdown list]</t>
  </si>
  <si>
    <t>PROJECT INFORMATION</t>
  </si>
  <si>
    <t>BASELINE ENERGY CONSUMPTION</t>
  </si>
  <si>
    <t>Section</t>
  </si>
  <si>
    <t xml:space="preserve">
1. Project Information</t>
  </si>
  <si>
    <t xml:space="preserve">
2. Baseline Energy Consumption</t>
  </si>
  <si>
    <t xml:space="preserve">
1. Projected Energy Consumption</t>
  </si>
  <si>
    <t xml:space="preserve">
Displays the projected post-project energy consumption based on the baseline consumption and subsequent projected ECM savings</t>
  </si>
  <si>
    <t xml:space="preserve">
Displays total project costs based on the ECM costs entered</t>
  </si>
  <si>
    <t xml:space="preserve">
3. Projected Savings</t>
  </si>
  <si>
    <t xml:space="preserve">
Displays the estimated annual greenhouse gas (GHG) emissions reductions associated with the projected energy savings using emissions factors from the “Lookups” tab</t>
  </si>
  <si>
    <t>PROJECTED ENERGY CONSUMPTION</t>
  </si>
  <si>
    <t>PROJECTED SAVINGS</t>
  </si>
  <si>
    <t>FUNDING IMPACT</t>
  </si>
  <si>
    <t>CARBON IMPACT</t>
  </si>
  <si>
    <t>Proposed Solar PV System Size (kW)</t>
  </si>
  <si>
    <r>
      <t>Total Annual GHG Emissions Reduction (MTCO</t>
    </r>
    <r>
      <rPr>
        <vertAlign val="subscript"/>
        <sz val="18"/>
        <color theme="1" tint="0.14999847407452621"/>
        <rFont val="Aptos"/>
        <family val="2"/>
      </rPr>
      <t>2</t>
    </r>
    <r>
      <rPr>
        <sz val="18"/>
        <color theme="1" tint="0.14999847407452621"/>
        <rFont val="Aptos"/>
        <family val="2"/>
      </rPr>
      <t>e)</t>
    </r>
  </si>
  <si>
    <r>
      <t>Total Lifetime GHG Emissions Reduction (MTCO</t>
    </r>
    <r>
      <rPr>
        <vertAlign val="subscript"/>
        <sz val="18"/>
        <color theme="1" tint="0.14999847407452621"/>
        <rFont val="Aptos"/>
        <family val="2"/>
      </rPr>
      <t>2</t>
    </r>
    <r>
      <rPr>
        <sz val="18"/>
        <color theme="1" tint="0.14999847407452621"/>
        <rFont val="Aptos"/>
        <family val="2"/>
      </rPr>
      <t>e)</t>
    </r>
  </si>
  <si>
    <t>Enter project-level information in the highlighted cells.</t>
  </si>
  <si>
    <t>PROJECTED COSTS</t>
  </si>
  <si>
    <t xml:space="preserve">
2. Projected Costs</t>
  </si>
  <si>
    <t>KEY METRICS</t>
  </si>
  <si>
    <t>CALCULATED METRICS</t>
  </si>
  <si>
    <t>USER INSTRUCTIONS</t>
  </si>
  <si>
    <t>Total MEA Grant Request</t>
  </si>
  <si>
    <t>Total Project Cost % Cap</t>
  </si>
  <si>
    <t>Electricity Savings</t>
  </si>
  <si>
    <t xml:space="preserve"> kWh/year</t>
  </si>
  <si>
    <t>Natural Gas Savings</t>
  </si>
  <si>
    <t>therms/year</t>
  </si>
  <si>
    <t>Propane Savings</t>
  </si>
  <si>
    <t>gallons/year</t>
  </si>
  <si>
    <t>Fuel Oil Savings</t>
  </si>
  <si>
    <t>ECM 1.</t>
  </si>
  <si>
    <t>ECM 2.</t>
  </si>
  <si>
    <t>ECM 3.</t>
  </si>
  <si>
    <t>ECM 4.</t>
  </si>
  <si>
    <t>HVAC &amp; Heat Pump — Efficiency Upgrade</t>
  </si>
  <si>
    <t>HVAC &amp; Heat Pump — Fuel Switching</t>
  </si>
  <si>
    <t xml:space="preserve">
4. Funding Impact</t>
  </si>
  <si>
    <t xml:space="preserve">
5. Carbon Impact</t>
  </si>
  <si>
    <t>Enter current annual energy consumption for each applicable fuel type in the highlighted cells. Only enter data for fuel types relevant to the facility. 
All energy consumption data should reflect the entire building's annual energy use.</t>
  </si>
  <si>
    <t>BEPS Bonus</t>
  </si>
  <si>
    <t>Non-Profits Only (Solar)</t>
  </si>
  <si>
    <t>Solar I (Direct Ownership)</t>
  </si>
  <si>
    <t>Local Governments (Solar)</t>
  </si>
  <si>
    <t>Groundmount &amp; Rooftop Installations -- per kW</t>
  </si>
  <si>
    <t>Solar Canopy Installations -- per kW</t>
  </si>
  <si>
    <t>Non-Profits</t>
  </si>
  <si>
    <t>Source</t>
  </si>
  <si>
    <t>Amount</t>
  </si>
  <si>
    <t>Percentage of Source Funds</t>
  </si>
  <si>
    <t>MEA Commercial &amp; Community Buildings Grant</t>
  </si>
  <si>
    <t>TOTAL</t>
  </si>
  <si>
    <t>FUNDING USES</t>
  </si>
  <si>
    <t>FUNDING SOURCES</t>
  </si>
  <si>
    <t>Line Item</t>
  </si>
  <si>
    <t>Source of Estimate</t>
  </si>
  <si>
    <t>Cost</t>
  </si>
  <si>
    <t>TIMELINE</t>
  </si>
  <si>
    <t>Project Milestone</t>
  </si>
  <si>
    <t>Expected Completion Date</t>
  </si>
  <si>
    <t>Award Notice from MEA</t>
  </si>
  <si>
    <t>Design Completion</t>
  </si>
  <si>
    <t>Materials on Site</t>
  </si>
  <si>
    <t>Project Completion</t>
  </si>
  <si>
    <t>UTILITY RATES</t>
  </si>
  <si>
    <t>Type of Ownership</t>
  </si>
  <si>
    <t>Coal</t>
  </si>
  <si>
    <t>https://www.eia.gov/states/MD/data/dashboard/coal</t>
  </si>
  <si>
    <t>Electricity ($/kWh)</t>
  </si>
  <si>
    <t>Natural Gas ($/therm)</t>
  </si>
  <si>
    <t>Propane ($/gallon)</t>
  </si>
  <si>
    <t>Fuel Oil #2 ($/gallon)</t>
  </si>
  <si>
    <t>Coal Savings</t>
  </si>
  <si>
    <t>PROPOSED SOLAR PV SYSTEM</t>
  </si>
  <si>
    <t>Direct Ownership</t>
  </si>
  <si>
    <t>SOLAR PV COST VALIDATION</t>
  </si>
  <si>
    <t>Non-Profit</t>
  </si>
  <si>
    <t>Organization Name</t>
  </si>
  <si>
    <t>Project Description</t>
  </si>
  <si>
    <t>ELECTRIFICATION AND ENERGY EFFICIENCY</t>
  </si>
  <si>
    <t>SOLAR</t>
  </si>
  <si>
    <t>PROPOSED MEASURES</t>
  </si>
  <si>
    <t>tons/year</t>
  </si>
  <si>
    <t>Estimated Annual Electricity Production (kWh/year)</t>
  </si>
  <si>
    <t>Coal Consumption (tons/year)</t>
  </si>
  <si>
    <t>Coal ($/ton)</t>
  </si>
  <si>
    <t>ton</t>
  </si>
  <si>
    <t>Coal  (tons/year)</t>
  </si>
  <si>
    <r>
      <t>Current Energy Use Intensity [EUI] (kBTU/ft</t>
    </r>
    <r>
      <rPr>
        <vertAlign val="superscript"/>
        <sz val="18"/>
        <color theme="1" tint="0.14996795556505021"/>
        <rFont val="Aptos"/>
        <family val="2"/>
      </rPr>
      <t>2</t>
    </r>
    <r>
      <rPr>
        <sz val="18"/>
        <color theme="1" tint="0.14999847407452621"/>
        <rFont val="Aptos"/>
        <family val="2"/>
      </rPr>
      <t>)</t>
    </r>
  </si>
  <si>
    <t xml:space="preserve">
5. Projected Energy Savings</t>
  </si>
  <si>
    <t xml:space="preserve">
3. Utility Rates</t>
  </si>
  <si>
    <t xml:space="preserve">
4. Proposed Measures</t>
  </si>
  <si>
    <t xml:space="preserve">
7. Proposed Solar PV System</t>
  </si>
  <si>
    <t xml:space="preserve">
Select the applicable electrification and energy efficiency measure(s)</t>
  </si>
  <si>
    <t xml:space="preserve">
9. Key Metrics</t>
  </si>
  <si>
    <t>This section summarizes the energy use intensity, savings, payback period, and total grant funding calculated on the next tab.</t>
  </si>
  <si>
    <t xml:space="preserve">
1. Funding Sources</t>
  </si>
  <si>
    <t xml:space="preserve">
2. Funding Uses</t>
  </si>
  <si>
    <t xml:space="preserve">
3. Timeline</t>
  </si>
  <si>
    <t xml:space="preserve">
Enter all project funding sources</t>
  </si>
  <si>
    <t xml:space="preserve">
Enter the estimated project costs, including the proposed use of grant funds and other eligible project expenses</t>
  </si>
  <si>
    <t xml:space="preserve">
Review the project timeline and enter the expected completion date for each applicable project milestone</t>
  </si>
  <si>
    <t>Air Sealing/ Insulation</t>
  </si>
  <si>
    <r>
      <t>Projected Energy Use Intensity [EUI] (kBTU/ft</t>
    </r>
    <r>
      <rPr>
        <vertAlign val="superscript"/>
        <sz val="18"/>
        <color theme="1" tint="0.14996795556505021"/>
        <rFont val="Aptos"/>
        <family val="2"/>
      </rPr>
      <t>2</t>
    </r>
    <r>
      <rPr>
        <sz val="18"/>
        <color theme="1" tint="0.14999847407452621"/>
        <rFont val="Aptos"/>
        <family val="2"/>
      </rPr>
      <t>)</t>
    </r>
  </si>
  <si>
    <t>BUDGET &amp; TIMELINE</t>
  </si>
  <si>
    <t>Number of ECMs not including Solar</t>
  </si>
  <si>
    <t>Building Type</t>
  </si>
  <si>
    <t>Commercial</t>
  </si>
  <si>
    <t>Local Government</t>
  </si>
  <si>
    <t>Formatting Notes</t>
  </si>
  <si>
    <t>PROJECT BUDGET AND TIMELINE</t>
  </si>
  <si>
    <t xml:space="preserve">Fill out the budget and timeline tables to the best of your knowledge and ability. Estimations are acceptable. Add lines in the tables where needed. 
Be sure to account for the total project cost, which includes the requested MEA grant and all other sources and uses of funds. </t>
  </si>
  <si>
    <t>Font</t>
  </si>
  <si>
    <t>Aptos</t>
  </si>
  <si>
    <t>Column headings in sections</t>
  </si>
  <si>
    <t>field names</t>
  </si>
  <si>
    <t>size 14</t>
  </si>
  <si>
    <t>size 16, Bold</t>
  </si>
  <si>
    <t>User inputs</t>
  </si>
  <si>
    <t>Auto-calculated fields</t>
  </si>
  <si>
    <t>size 18, navy blue on white (yellow background when empty)</t>
  </si>
  <si>
    <t>size 18, dark blue on gray</t>
  </si>
  <si>
    <t>Commercial Appliances — Fuel Switching</t>
  </si>
  <si>
    <t>Commercial Appliances — Efficiency Upgrade</t>
  </si>
  <si>
    <t>Energy measures do not apply to this project application.
↓   Scroll down to next section   ↓</t>
  </si>
  <si>
    <t>Click here to check if your building is covered by Montgomery County BEPS</t>
  </si>
  <si>
    <t>Click here to check if your building is covered by State BEPS</t>
  </si>
  <si>
    <t>Text in cells</t>
  </si>
  <si>
    <t>Left indent, 1</t>
  </si>
  <si>
    <t>LINK</t>
  </si>
  <si>
    <t>DEFAULT ENERGY PRICES</t>
  </si>
  <si>
    <t>ECM LIST + ESTIMATED USEFUL LIFE</t>
  </si>
  <si>
    <t>DATA DATED</t>
  </si>
  <si>
    <t>MEA Assumptions</t>
  </si>
  <si>
    <t>MEA INCENTIVES</t>
  </si>
  <si>
    <t>for FY27 Commercial &amp; Community Buildings</t>
  </si>
  <si>
    <t>EMBEDDED VALUES</t>
  </si>
  <si>
    <t>EXISTING CONDITIONS</t>
  </si>
  <si>
    <t>This tab is only for viewing calculator outputs. No inputs are to be made here.</t>
  </si>
  <si>
    <r>
      <t xml:space="preserve">Annual GHG Emissions Reduction from </t>
    </r>
    <r>
      <rPr>
        <b/>
        <sz val="14"/>
        <color theme="1" tint="0.14999847407452621"/>
        <rFont val="Aptos"/>
        <family val="2"/>
      </rPr>
      <t>Electrification</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</si>
  <si>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Electrification</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</si>
  <si>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Annual GHG Emissions Reduction from </t>
    </r>
    <r>
      <rPr>
        <b/>
        <sz val="14"/>
        <color theme="1" tint="0.14999847407452621"/>
        <rFont val="Aptos"/>
        <family val="2"/>
      </rPr>
      <t>Energy Efficiency</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</si>
  <si>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 xml:space="preserve">Energy Efficiency </t>
    </r>
    <r>
      <rPr>
        <sz val="14"/>
        <color theme="1" tint="0.14999847407452621"/>
        <rFont val="Aptos"/>
        <family val="2"/>
      </rPr>
      <t>Projects (MTCO</t>
    </r>
    <r>
      <rPr>
        <vertAlign val="subscript"/>
        <sz val="14"/>
        <color theme="1" tint="0.14999847407452621"/>
        <rFont val="Aptos"/>
        <family val="2"/>
      </rPr>
      <t>2</t>
    </r>
    <r>
      <rPr>
        <sz val="14"/>
        <color theme="1" tint="0.14999847407452621"/>
        <rFont val="Aptos"/>
        <family val="2"/>
      </rPr>
      <t>e)</t>
    </r>
  </si>
  <si>
    <r>
      <t xml:space="preserve">Annual GHG Emissions Reduction from </t>
    </r>
    <r>
      <rPr>
        <b/>
        <sz val="14"/>
        <color theme="1" tint="0.14999847407452621"/>
        <rFont val="Aptos"/>
        <family val="2"/>
      </rPr>
      <t>Solar</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</si>
  <si>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Solar</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</si>
  <si>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rPr>
        <b/>
        <sz val="14"/>
        <color theme="1" tint="0.14999847407452621"/>
        <rFont val="Aptos"/>
        <family val="2"/>
      </rPr>
      <t>Electrification</t>
    </r>
    <r>
      <rPr>
        <sz val="14"/>
        <color theme="1" tint="0.14999847407452621"/>
        <rFont val="Aptos"/>
        <family val="2"/>
      </rPr>
      <t xml:space="preserve"> 
- Total Project Cost</t>
    </r>
  </si>
  <si>
    <r>
      <rPr>
        <b/>
        <sz val="14"/>
        <color theme="1" tint="0.14999847407452621"/>
        <rFont val="Aptos"/>
        <family val="2"/>
      </rPr>
      <t>Energy Efficiency</t>
    </r>
    <r>
      <rPr>
        <sz val="14"/>
        <color theme="1" tint="0.14999847407452621"/>
        <rFont val="Aptos"/>
        <family val="2"/>
      </rPr>
      <t xml:space="preserve"> 
- Total Project Cost</t>
    </r>
  </si>
  <si>
    <r>
      <rPr>
        <b/>
        <sz val="14"/>
        <color theme="1" tint="0.14999847407452621"/>
        <rFont val="Aptos"/>
        <family val="2"/>
      </rPr>
      <t xml:space="preserve">Solar </t>
    </r>
    <r>
      <rPr>
        <sz val="14"/>
        <color theme="1" tint="0.14999847407452621"/>
        <rFont val="Aptos"/>
        <family val="2"/>
      </rPr>
      <t xml:space="preserve">
- Total Project Cost</t>
    </r>
  </si>
  <si>
    <t>USER INPUTS</t>
  </si>
  <si>
    <t>Minimum Grant Amount for Mechanical Insulation Only</t>
  </si>
  <si>
    <t>Select the applicable electrification and energy efficiency measure(s) below. Solar photovoltaic (PV) measures are entered separately in the Solar Measures section.
If you need to include more than four ECMs, you can request a version of the calculator that contains additional ECM dropdowns</t>
  </si>
  <si>
    <t>Third-Party Ownership</t>
  </si>
  <si>
    <t>Solar Canopy</t>
  </si>
  <si>
    <t>Solar II (Third-Party Ownership)</t>
  </si>
  <si>
    <t>Pre-Implementation</t>
  </si>
  <si>
    <t>ENERGY UNIT CONVERSION FACTORS</t>
  </si>
  <si>
    <t>kBtu/Unit</t>
  </si>
  <si>
    <t>MEA Data</t>
  </si>
  <si>
    <r>
      <t xml:space="preserve">USER INPUTS
</t>
    </r>
    <r>
      <rPr>
        <b/>
        <i/>
        <sz val="14"/>
        <color rgb="FFC00000"/>
        <rFont val="Aptos"/>
        <family val="2"/>
      </rPr>
      <t>*</t>
    </r>
    <r>
      <rPr>
        <b/>
        <i/>
        <sz val="14"/>
        <color rgb="FFFF0000"/>
        <rFont val="Aptos"/>
        <family val="2"/>
      </rPr>
      <t xml:space="preserve"> </t>
    </r>
    <r>
      <rPr>
        <b/>
        <i/>
        <sz val="14"/>
        <color theme="1" tint="0.14999847407452621"/>
        <rFont val="Aptos"/>
        <family val="2"/>
      </rPr>
      <t xml:space="preserve">Fields marked with an asterisk are required. </t>
    </r>
    <r>
      <rPr>
        <b/>
        <sz val="16"/>
        <color theme="1" tint="0.14999847407452621"/>
        <rFont val="Aptos"/>
        <family val="2"/>
      </rPr>
      <t xml:space="preserve">Each building is eligible for only </t>
    </r>
    <r>
      <rPr>
        <b/>
        <u/>
        <sz val="16"/>
        <color theme="1" tint="0.14999847407452621"/>
        <rFont val="Aptos"/>
        <family val="2"/>
      </rPr>
      <t>ONE grant application</t>
    </r>
    <r>
      <rPr>
        <b/>
        <sz val="16"/>
        <color theme="1" tint="0.14999847407452621"/>
        <rFont val="Aptos"/>
        <family val="2"/>
      </rPr>
      <t xml:space="preserve"> and </t>
    </r>
    <r>
      <rPr>
        <b/>
        <u/>
        <sz val="16"/>
        <color theme="1" tint="0.14999847407452621"/>
        <rFont val="Aptos"/>
        <family val="2"/>
      </rPr>
      <t>ONE associated calculator</t>
    </r>
    <r>
      <rPr>
        <b/>
        <sz val="16"/>
        <color theme="1" tint="0.14999847407452621"/>
        <rFont val="Aptos"/>
        <family val="2"/>
      </rPr>
      <t>.</t>
    </r>
  </si>
  <si>
    <t>Lighting — Interior LED</t>
  </si>
  <si>
    <t>Lighting — Exterior and Street</t>
  </si>
  <si>
    <t>Window and Exterior Door Replacements</t>
  </si>
  <si>
    <t>Enter project costs for each selected ECM in the corresponding highlighted cells.</t>
  </si>
  <si>
    <t xml:space="preserve">
Enter the building’s annual baseline energy consumption for electricity, natural gas, propane, Fuel Oil No. 2, and coal as applicable</t>
  </si>
  <si>
    <t xml:space="preserve">
Enter the estimated annual energy savings for each selected ECM, including electricity, natural gas, propane, Fuel Oil No. 2 savings, and coal as applicable</t>
  </si>
  <si>
    <t xml:space="preserve">
6. Projected Costs</t>
  </si>
  <si>
    <t xml:space="preserve">
Enter project costs for each selected ECM</t>
  </si>
  <si>
    <t xml:space="preserve">
Standardized values are used as default utility rates to determine projected costs</t>
  </si>
  <si>
    <t>PROJECTED ENERGY SAVINGS</t>
  </si>
  <si>
    <t>Solar PV System Total Project Costs</t>
  </si>
  <si>
    <t>Default utility rates are automatically populated using current standardized values.</t>
  </si>
  <si>
    <t>Enter other sources and amounts of funding for this project, such as utility rebates or grants, which will be stacked along with the MEA grant. 
The grant value calculated indicates the requested amount for which this project may qualify, not the final award amount.</t>
  </si>
  <si>
    <t>Final Report Submitted to MEA</t>
  </si>
  <si>
    <t>Funding</t>
  </si>
  <si>
    <t>Mechanical Insulation (Track 4)</t>
  </si>
  <si>
    <t>Minimum Project Cost</t>
  </si>
  <si>
    <t>Lifetime MTCO2e Reduced (200 - 2,499)</t>
  </si>
  <si>
    <t>Lifetime MTCO2e Reduced (2,500 - 4,999)</t>
  </si>
  <si>
    <t>Lifetime MTCO2e Reduced (5,000+)</t>
  </si>
  <si>
    <t>GROUNDMOUNT OR ROOFTOP INSTALLATION</t>
  </si>
  <si>
    <t>SOLAR CANOPY INSTALLATION</t>
  </si>
  <si>
    <t>Solar PV Project</t>
  </si>
  <si>
    <t>None</t>
  </si>
  <si>
    <t>Ground Mount/Rooftop</t>
  </si>
  <si>
    <t>Both</t>
  </si>
  <si>
    <t>Solar PV Requested Grant Amount per kW</t>
  </si>
  <si>
    <t>Solar PV Requested Grant Amount</t>
  </si>
  <si>
    <t>Complete this section only for projects that include a solar PV installation. 
Enter the proposed system size, ownership, estimated annual electricity production, total project cost, and requested grant amount for each applicable installation type.</t>
  </si>
  <si>
    <t>The calculator automatically determines the requested grant amount per kW and verifies that the requested grant complies with the applicable MEA incentive rate and project cost share limit.</t>
  </si>
  <si>
    <t xml:space="preserve">
Review the Solar PV validation results to confirm that the requested grant amount complies with the applicable MEA $/kW incentive rate and project cost share limit for each proposed installation type.</t>
  </si>
  <si>
    <t xml:space="preserve">
8. Solar PV Grant Request Validation</t>
  </si>
  <si>
    <t>Solar Message Display</t>
  </si>
  <si>
    <t>Value</t>
  </si>
  <si>
    <t>Solar Section Label</t>
  </si>
  <si>
    <t>Solar Section Row</t>
  </si>
  <si>
    <t>Ground Ownership Column</t>
  </si>
  <si>
    <t>Canopy Ownership Column</t>
  </si>
  <si>
    <t>Ground Rate Row</t>
  </si>
  <si>
    <t>Canopy Rate Row</t>
  </si>
  <si>
    <t>Solar Minimum Row</t>
  </si>
  <si>
    <t>Solar Maximum Row</t>
  </si>
  <si>
    <t>Ground Rate</t>
  </si>
  <si>
    <t>Canopy Rate</t>
  </si>
  <si>
    <t>Ground Minimum Grant</t>
  </si>
  <si>
    <t>Ground Maximum Grant</t>
  </si>
  <si>
    <t>Canopy Minimum Grant</t>
  </si>
  <si>
    <t>Canopy Maximum Grant</t>
  </si>
  <si>
    <t>Ground Raw Incentive</t>
  </si>
  <si>
    <t>Ground Eligible Incentive</t>
  </si>
  <si>
    <t>Canopy Raw Incentive</t>
  </si>
  <si>
    <t>Canopy Eligible Incentive</t>
  </si>
  <si>
    <t>Label</t>
  </si>
  <si>
    <t>ENOUGH Act + Overburdened Bonus</t>
  </si>
  <si>
    <r>
      <t xml:space="preserve">This calculator is for FY27 Commercial &amp; Community Buildings Grant Program applications. This calculator can be used to quantify the energy savings, cost savings, grant amounts, GHG emissions, and GHG reduction investment for proposed projects. Each building is eligible for only </t>
    </r>
    <r>
      <rPr>
        <i/>
        <u/>
        <sz val="16"/>
        <color theme="1" tint="0.249977111117893"/>
        <rFont val="Aptos"/>
        <family val="2"/>
      </rPr>
      <t>ONE grant application</t>
    </r>
    <r>
      <rPr>
        <i/>
        <sz val="16"/>
        <color theme="1" tint="0.249977111117893"/>
        <rFont val="Aptos"/>
        <family val="2"/>
      </rPr>
      <t xml:space="preserve"> and </t>
    </r>
    <r>
      <rPr>
        <i/>
        <u/>
        <sz val="16"/>
        <color theme="1" tint="0.249977111117893"/>
        <rFont val="Aptos"/>
        <family val="2"/>
      </rPr>
      <t>ONE associated calculator</t>
    </r>
    <r>
      <rPr>
        <i/>
        <sz val="16"/>
        <color theme="1" tint="0.249977111117893"/>
        <rFont val="Aptos"/>
        <family val="2"/>
      </rPr>
      <t>. Applicants may submit a separate application and calculator for each additional building.
This calculator is designed for use in Microsoft Excel. The calculator has three tabs for users: 'User Inputs' , 'Budget &amp; Timeline', and 'Calculated Metrics'. Guidance on their use is provided below. Two other tabs are for reference only.</t>
    </r>
  </si>
  <si>
    <r>
      <t xml:space="preserve">
Enter basic project details, including applicant information, building characteristics, and applicable Energy Conservation Measures (ECMs). 
Select the number of ECMs to display the corresponding ECM input fields. For projects requesting more than four ECMs, please contact </t>
    </r>
    <r>
      <rPr>
        <u/>
        <sz val="16"/>
        <color theme="1" tint="0.14999847407452621"/>
        <rFont val="Aptos"/>
        <family val="2"/>
      </rPr>
      <t>commercialcommunity.mea@maryland.gov</t>
    </r>
    <r>
      <rPr>
        <sz val="16"/>
        <color theme="1" tint="0.14999847407452621"/>
        <rFont val="Aptos"/>
        <family val="2"/>
      </rPr>
      <t xml:space="preserve"> to request a version of the calculator that supports additional ECMs.</t>
    </r>
  </si>
  <si>
    <t xml:space="preserve">
Provides an at-a-glance summary of key metrics, eliminating the need to switch between tabs
Total MEA Grant Request: The calculated Total MEA Grant Request represents the amount for which the project may qualify based on the applicable program requirements and applicant-entered information. It does not represent a final grant award.</t>
  </si>
  <si>
    <t xml:space="preserve">
For projects that include Solar PV, enter the proposed system size, ownership, estimated annual electricity production, total project cost, and requested grant amount for each applicable installation type.</t>
  </si>
  <si>
    <t>PreK-12 Public School</t>
  </si>
  <si>
    <t>PreK-12 Public School - $50 Bonus Eligible</t>
  </si>
  <si>
    <t>Click here to check if your PreK-12 Public School is covered by the ENOUGH Act</t>
  </si>
  <si>
    <t>Click here to check if your PreK-12 Public School is located in an Overburdened Census Tract</t>
  </si>
  <si>
    <t xml:space="preserve">Enter the expected annual energy savings for each ECM in the highlighted cells. Only enter data for fuel types relevant to the facility. 
Enter savings as positive values and increases as negative values. If a project is expected to result in an increase in electricity usage, enter the increase as a negative value. </t>
  </si>
  <si>
    <r>
      <t>Brief Project Description</t>
    </r>
    <r>
      <rPr>
        <b/>
        <sz val="14"/>
        <color rgb="FFC00000"/>
        <rFont val="Aptos"/>
        <family val="2"/>
      </rPr>
      <t>*</t>
    </r>
    <r>
      <rPr>
        <b/>
        <sz val="14"/>
        <color theme="1" tint="0.14999847407452621"/>
        <rFont val="Aptos"/>
        <family val="2"/>
      </rPr>
      <t xml:space="preserve">
</t>
    </r>
    <r>
      <rPr>
        <i/>
        <sz val="12"/>
        <color theme="1" tint="0.14999847407452621"/>
        <rFont val="Aptos"/>
        <family val="2"/>
      </rPr>
      <t>(250 Character Limit )</t>
    </r>
  </si>
  <si>
    <r>
      <t>Is this building covered by BEPS?</t>
    </r>
    <r>
      <rPr>
        <b/>
        <sz val="14"/>
        <color rgb="FFC00000"/>
        <rFont val="Aptos"/>
        <family val="2"/>
      </rPr>
      <t>*</t>
    </r>
  </si>
  <si>
    <r>
      <t>Building Type</t>
    </r>
    <r>
      <rPr>
        <b/>
        <sz val="14"/>
        <color rgb="FFC00000"/>
        <rFont val="Aptos"/>
        <family val="2"/>
      </rPr>
      <t>*</t>
    </r>
  </si>
  <si>
    <r>
      <t>Grantee/
Organization Name</t>
    </r>
    <r>
      <rPr>
        <b/>
        <sz val="14"/>
        <color rgb="FFC00000"/>
        <rFont val="Aptos"/>
        <family val="2"/>
      </rPr>
      <t>*</t>
    </r>
  </si>
  <si>
    <r>
      <t>Project Name</t>
    </r>
    <r>
      <rPr>
        <b/>
        <sz val="14"/>
        <color rgb="FFC00000"/>
        <rFont val="Aptos"/>
        <family val="2"/>
      </rPr>
      <t>*</t>
    </r>
  </si>
  <si>
    <r>
      <t>Building 
Square Footage</t>
    </r>
    <r>
      <rPr>
        <b/>
        <sz val="14"/>
        <color rgb="FFC00000"/>
        <rFont val="Aptos"/>
        <family val="2"/>
      </rPr>
      <t>*</t>
    </r>
  </si>
  <si>
    <r>
      <t>Project County</t>
    </r>
    <r>
      <rPr>
        <b/>
        <sz val="14"/>
        <color rgb="FFC00000"/>
        <rFont val="Aptos"/>
        <family val="2"/>
      </rPr>
      <t>*</t>
    </r>
  </si>
  <si>
    <r>
      <t>Number of ECMs not including Solar</t>
    </r>
    <r>
      <rPr>
        <b/>
        <sz val="14"/>
        <color rgb="FFC00000"/>
        <rFont val="Aptos"/>
        <family val="2"/>
      </rPr>
      <t>*</t>
    </r>
  </si>
  <si>
    <r>
      <t>What type of Solar PV does this project include?</t>
    </r>
    <r>
      <rPr>
        <b/>
        <sz val="14"/>
        <color rgb="FFC00000"/>
        <rFont val="Aptos"/>
        <family val="2"/>
      </rPr>
      <t>*</t>
    </r>
  </si>
  <si>
    <r>
      <t>Maryland Benchmarking ID (UBID - Unique Building ID )</t>
    </r>
    <r>
      <rPr>
        <b/>
        <sz val="14"/>
        <color rgb="FFC00000"/>
        <rFont val="Aptos"/>
        <family val="2"/>
      </rPr>
      <t>*</t>
    </r>
  </si>
  <si>
    <r>
      <t>Montgomery County Benchmarking ID (MBID)</t>
    </r>
    <r>
      <rPr>
        <b/>
        <sz val="14"/>
        <color rgb="FFC00000"/>
        <rFont val="Aptos"/>
        <family val="2"/>
      </rPr>
      <t>*</t>
    </r>
  </si>
  <si>
    <t>Total Project Cost% Cap</t>
  </si>
  <si>
    <r>
      <rPr>
        <b/>
        <sz val="14"/>
        <color theme="1" tint="0.14999847407452621"/>
        <rFont val="Aptos"/>
        <family val="2"/>
      </rPr>
      <t>Electrification</t>
    </r>
    <r>
      <rPr>
        <sz val="14"/>
        <color theme="1" tint="0.14999847407452621"/>
        <rFont val="Aptos"/>
        <family val="2"/>
      </rPr>
      <t xml:space="preserve"> - $/Lifetime MTCO2e Reduced</t>
    </r>
  </si>
  <si>
    <r>
      <rPr>
        <b/>
        <sz val="14"/>
        <color theme="1" tint="0.14999847407452621"/>
        <rFont val="Aptos"/>
        <family val="2"/>
      </rPr>
      <t>Energy Efficiency</t>
    </r>
    <r>
      <rPr>
        <sz val="14"/>
        <color theme="1" tint="0.14999847407452621"/>
        <rFont val="Aptos"/>
        <family val="2"/>
      </rPr>
      <t xml:space="preserve"> - $/Lifetime MTCO2e Reduced</t>
    </r>
  </si>
  <si>
    <r>
      <rPr>
        <b/>
        <sz val="14"/>
        <color theme="1" tint="0.14999847407452621"/>
        <rFont val="Aptos"/>
        <family val="2"/>
      </rPr>
      <t>Solar</t>
    </r>
    <r>
      <rPr>
        <sz val="14"/>
        <color theme="1" tint="0.14999847407452621"/>
        <rFont val="Aptos"/>
        <family val="2"/>
      </rPr>
      <t xml:space="preserve"> - Applicable Incentive Rate(s)</t>
    </r>
  </si>
  <si>
    <r>
      <t xml:space="preserve">Calculated Incentives for </t>
    </r>
    <r>
      <rPr>
        <b/>
        <sz val="14"/>
        <color theme="1" tint="0.14999847407452621"/>
        <rFont val="Aptos"/>
        <family val="2"/>
      </rPr>
      <t>Electrification</t>
    </r>
    <r>
      <rPr>
        <vertAlign val="superscript"/>
        <sz val="14"/>
        <color theme="1" tint="0.14996795556505021"/>
        <rFont val="Aptos"/>
        <family val="2"/>
      </rPr>
      <t>1</t>
    </r>
  </si>
  <si>
    <r>
      <t xml:space="preserve">Calculated Incentives for </t>
    </r>
    <r>
      <rPr>
        <b/>
        <sz val="14"/>
        <color theme="1" tint="0.14999847407452621"/>
        <rFont val="Aptos"/>
        <family val="2"/>
      </rPr>
      <t>Energy Efficiency</t>
    </r>
    <r>
      <rPr>
        <vertAlign val="superscript"/>
        <sz val="14"/>
        <color theme="1" tint="0.14996795556505021"/>
        <rFont val="Aptos"/>
        <family val="2"/>
      </rPr>
      <t>2</t>
    </r>
  </si>
  <si>
    <r>
      <t xml:space="preserve">Calculated Incentives for </t>
    </r>
    <r>
      <rPr>
        <b/>
        <sz val="14"/>
        <color theme="1" tint="0.14999847407452621"/>
        <rFont val="Aptos"/>
        <family val="2"/>
      </rPr>
      <t>Solar</t>
    </r>
    <r>
      <rPr>
        <vertAlign val="superscript"/>
        <sz val="14"/>
        <color theme="1" tint="0.14996795556505021"/>
        <rFont val="Aptos"/>
        <family val="2"/>
      </rPr>
      <t>3</t>
    </r>
  </si>
  <si>
    <t>Local Education Agencies (LEAs) PreK-12 Schools</t>
  </si>
  <si>
    <t>Local Education Agencies (LEAs) PreK-12 Schools (Solar)</t>
  </si>
  <si>
    <t xml:space="preserve">
Displays the projected annual energy and utility cost savings and simple payback associated with the proposed ECMs</t>
  </si>
  <si>
    <t xml:space="preserve">
Displays applicable incentive rates, calculated grant amounts, and applicable Solar PV funding metrics</t>
  </si>
  <si>
    <t>Border Colors</t>
  </si>
  <si>
    <t>#D9D9D9 for internal borders</t>
  </si>
  <si>
    <t>#A6A6A6 for bounding boxes -- external borders (only)</t>
  </si>
  <si>
    <t>Allegany</t>
  </si>
  <si>
    <t>Anne Arundel</t>
  </si>
  <si>
    <t>Baltimore</t>
  </si>
  <si>
    <t>Calvert</t>
  </si>
  <si>
    <t>Caroline</t>
  </si>
  <si>
    <t>Carroll</t>
  </si>
  <si>
    <t>Cecil</t>
  </si>
  <si>
    <t>Charles</t>
  </si>
  <si>
    <t>Dorchester</t>
  </si>
  <si>
    <t>Frederick</t>
  </si>
  <si>
    <t>Garrett</t>
  </si>
  <si>
    <t>Harford</t>
  </si>
  <si>
    <t>Howard</t>
  </si>
  <si>
    <t>Kent</t>
  </si>
  <si>
    <t>Montgomery</t>
  </si>
  <si>
    <t>Prince George's</t>
  </si>
  <si>
    <t>Queen Anne's</t>
  </si>
  <si>
    <t>St. Mary's</t>
  </si>
  <si>
    <t>Somerset</t>
  </si>
  <si>
    <t>Talbot</t>
  </si>
  <si>
    <t>Washington</t>
  </si>
  <si>
    <t>Wicomico</t>
  </si>
  <si>
    <t>Worcester</t>
  </si>
  <si>
    <t>Baltimore City</t>
  </si>
  <si>
    <t>Project County</t>
  </si>
  <si>
    <t>Updates Log</t>
  </si>
  <si>
    <t>ID</t>
  </si>
  <si>
    <t>Type</t>
  </si>
  <si>
    <t>Version</t>
  </si>
  <si>
    <t>Status</t>
  </si>
  <si>
    <t>Date Logged</t>
  </si>
  <si>
    <t>Fixed</t>
  </si>
  <si>
    <t>001</t>
  </si>
  <si>
    <t>002</t>
  </si>
  <si>
    <t>Bug Fix</t>
  </si>
  <si>
    <t>Feature</t>
  </si>
  <si>
    <t>Updates Type</t>
  </si>
  <si>
    <t>The building is a PreK-12 Public School eligible for the $50 ENOUGH ACT and/or Overburdened $50 bonus, but the calculator is not reflecting the $50 bonus in the "Total MEA Grant Request" field on the User Inputs and Calculated Metrics tabs</t>
  </si>
  <si>
    <t>Bug Report</t>
  </si>
  <si>
    <t>003</t>
  </si>
  <si>
    <t>Noted</t>
  </si>
  <si>
    <t>ID 001_Bug Report addressed</t>
  </si>
  <si>
    <t>Added capability to select counties from a dropdown</t>
  </si>
  <si>
    <t>Completed</t>
  </si>
  <si>
    <t>New Feature</t>
  </si>
  <si>
    <t>v1.001</t>
  </si>
  <si>
    <t>v1.000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</si>
</sst>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
  </numFmts>
  <fonts count="68" x14ac:knownFonts="1">
    <font>
      <sz val="10"/>
      <color rgb="FF000000"/>
      <name val="Arial"/>
      <scheme val="minor"/>
    </font>
    <font>
      <sz val="11"/>
      <color theme="1"/>
      <name val="Arial"/>
      <family val="2"/>
      <scheme val="minor"/>
    </font>
    <font>
      <sz val="10"/>
      <color rgb="FF000000"/>
      <name val="Arial"/>
      <family val="2"/>
      <scheme val="minor"/>
    </font>
    <font>
      <u/>
      <sz val="10"/>
      <color theme="10"/>
      <name val="Arial"/>
      <family val="2"/>
      <scheme val="minor"/>
    </font>
    <font>
      <sz val="10"/>
      <color rgb="FF000000"/>
      <name val="Arial"/>
      <family val="2"/>
      <scheme val="minor"/>
    </font>
    <font>
      <u/>
      <sz val="11"/>
      <color theme="10"/>
      <name val="Arial"/>
      <family val="2"/>
      <scheme val="minor"/>
    </font>
    <font>
      <sz val="8"/>
      <name val="Arial"/>
      <family val="2"/>
      <scheme val="minor"/>
    </font>
    <font>
      <sz val="10"/>
      <color rgb="FF000000"/>
      <name val="Aptos"/>
      <family val="2"/>
    </font>
    <font>
      <b/>
      <sz val="14"/>
      <color rgb="FF000000"/>
      <name val="Aptos"/>
      <family val="2"/>
    </font>
    <font>
      <b/>
      <sz val="18"/>
      <color rgb="FF000000"/>
      <name val="Aptos"/>
      <family val="2"/>
    </font>
    <font>
      <sz val="14"/>
      <color rgb="FF000000"/>
      <name val="Aptos"/>
      <family val="2"/>
    </font>
    <font>
      <sz val="14"/>
      <name val="Aptos"/>
      <family val="2"/>
    </font>
    <font>
      <sz val="60"/>
      <color rgb="FF000000"/>
      <name val="Aptos"/>
      <family val="2"/>
    </font>
    <font>
      <sz val="18"/>
      <color rgb="FF0070C0"/>
      <name val="Aptos"/>
      <family val="2"/>
    </font>
    <font>
      <sz val="18"/>
      <color rgb="FF000000"/>
      <name val="Aptos"/>
      <family val="2"/>
    </font>
    <font>
      <sz val="18"/>
      <name val="Aptos"/>
      <family val="2"/>
    </font>
    <font>
      <b/>
      <sz val="20"/>
      <color rgb="FF000000"/>
      <name val="Aptos"/>
      <family val="2"/>
    </font>
    <font>
      <b/>
      <i/>
      <sz val="16"/>
      <color rgb="FF000000"/>
      <name val="Aptos"/>
      <family val="2"/>
    </font>
    <font>
      <b/>
      <sz val="26"/>
      <color theme="1" tint="0.14999847407452621"/>
      <name val="Aptos"/>
      <family val="2"/>
    </font>
    <font>
      <sz val="20"/>
      <color theme="1" tint="0.14999847407452621"/>
      <name val="Aptos"/>
      <family val="2"/>
    </font>
    <font>
      <b/>
      <sz val="18"/>
      <color theme="1" tint="0.14999847407452621"/>
      <name val="Aptos"/>
      <family val="2"/>
    </font>
    <font>
      <i/>
      <sz val="14"/>
      <color theme="1" tint="0.14999847407452621"/>
      <name val="Aptos"/>
      <family val="2"/>
    </font>
    <font>
      <b/>
      <i/>
      <sz val="16"/>
      <color theme="1" tint="0.14999847407452621"/>
      <name val="Aptos"/>
      <family val="2"/>
    </font>
    <font>
      <sz val="18"/>
      <color rgb="FFC00000"/>
      <name val="Aptos"/>
      <family val="2"/>
    </font>
    <font>
      <sz val="14"/>
      <color theme="1" tint="0.14999847407452621"/>
      <name val="Aptos"/>
      <family val="2"/>
    </font>
    <font>
      <sz val="18"/>
      <color theme="1" tint="0.14999847407452621"/>
      <name val="Aptos"/>
      <family val="2"/>
    </font>
    <font>
      <vertAlign val="subscript"/>
      <sz val="14"/>
      <color theme="1" tint="0.14999847407452621"/>
      <name val="Aptos"/>
      <family val="2"/>
    </font>
    <font>
      <vertAlign val="subscript"/>
      <sz val="18"/>
      <color theme="1" tint="0.14999847407452621"/>
      <name val="Aptos"/>
      <family val="2"/>
    </font>
    <font>
      <sz val="18"/>
      <color rgb="FF00B0F0"/>
      <name val="Aptos"/>
      <family val="2"/>
    </font>
    <font>
      <sz val="18"/>
      <color rgb="FF004064"/>
      <name val="Aptos"/>
      <family val="2"/>
    </font>
    <font>
      <sz val="10"/>
      <color rgb="FF2D8F49"/>
      <name val="Aptos"/>
      <family val="2"/>
    </font>
    <font>
      <sz val="18"/>
      <color rgb="FFF0F9FA"/>
      <name val="Aptos"/>
      <family val="2"/>
    </font>
    <font>
      <sz val="10"/>
      <color theme="9" tint="0.39997558519241921"/>
      <name val="Aptos"/>
      <family val="2"/>
    </font>
    <font>
      <i/>
      <sz val="16"/>
      <color theme="1" tint="0.249977111117893"/>
      <name val="Aptos"/>
      <family val="2"/>
    </font>
    <font>
      <sz val="16"/>
      <color theme="1" tint="0.14999847407452621"/>
      <name val="Aptos"/>
      <family val="2"/>
    </font>
    <font>
      <b/>
      <sz val="16"/>
      <color theme="1" tint="0.14999847407452621"/>
      <name val="Aptos"/>
      <family val="2"/>
    </font>
    <font>
      <sz val="18"/>
      <color rgb="FF000000"/>
      <name val="Arial"/>
      <family val="2"/>
      <scheme val="minor"/>
    </font>
    <font>
      <b/>
      <sz val="20"/>
      <color theme="1" tint="0.14999847407452621"/>
      <name val="Aptos"/>
      <family val="2"/>
    </font>
    <font>
      <sz val="18"/>
      <color theme="0"/>
      <name val="Aptos"/>
      <family val="2"/>
    </font>
    <font>
      <b/>
      <sz val="10"/>
      <color rgb="FF000000"/>
      <name val="Aptos"/>
      <family val="2"/>
    </font>
    <font>
      <sz val="11"/>
      <color indexed="81"/>
      <name val="Tahoma"/>
      <family val="2"/>
    </font>
    <font>
      <b/>
      <sz val="14"/>
      <color theme="1" tint="0.14999847407452621"/>
      <name val="Aptos"/>
      <family val="2"/>
    </font>
    <font>
      <b/>
      <i/>
      <sz val="14"/>
      <color theme="1" tint="0.14999847407452621"/>
      <name val="Aptos"/>
      <family val="2"/>
    </font>
    <font>
      <b/>
      <i/>
      <sz val="14"/>
      <color rgb="FFFF0000"/>
      <name val="Aptos"/>
      <family val="2"/>
    </font>
    <font>
      <b/>
      <sz val="16"/>
      <color theme="1" tint="0.249977111117893"/>
      <name val="Aptos"/>
      <family val="2"/>
    </font>
    <font>
      <sz val="12"/>
      <color indexed="81"/>
      <name val="Tahoma"/>
      <family val="2"/>
    </font>
    <font>
      <sz val="14"/>
      <color rgb="FF004064"/>
      <name val="Aptos"/>
      <family val="2"/>
    </font>
    <font>
      <sz val="10"/>
      <color rgb="FFFF0000"/>
      <name val="Aptos"/>
      <family val="2"/>
    </font>
    <font>
      <vertAlign val="superscript"/>
      <sz val="18"/>
      <color theme="1" tint="0.14996795556505021"/>
      <name val="Aptos"/>
      <family val="2"/>
    </font>
    <font>
      <sz val="18"/>
      <color rgb="FF004070"/>
      <name val="Aptos"/>
      <family val="2"/>
    </font>
    <font>
      <b/>
      <sz val="18"/>
      <color rgb="FF004064"/>
      <name val="Aptos"/>
      <family val="2"/>
    </font>
    <font>
      <b/>
      <sz val="18"/>
      <color rgb="FF004070"/>
      <name val="Aptos"/>
      <family val="2"/>
    </font>
    <font>
      <u/>
      <sz val="14"/>
      <color rgb="FF004064"/>
      <name val="Aptos"/>
      <family val="2"/>
    </font>
    <font>
      <b/>
      <sz val="14"/>
      <color rgb="FFC00000"/>
      <name val="Aptos"/>
      <family val="2"/>
    </font>
    <font>
      <sz val="14"/>
      <color rgb="FF000000"/>
      <name val="Arial"/>
      <family val="2"/>
      <scheme val="minor"/>
    </font>
    <font>
      <i/>
      <sz val="14"/>
      <color rgb="FF000000"/>
      <name val="Aptos"/>
      <family val="2"/>
    </font>
    <font>
      <b/>
      <i/>
      <sz val="14"/>
      <color rgb="FFC00000"/>
      <name val="Aptos"/>
      <family val="2"/>
    </font>
    <font>
      <sz val="14"/>
      <color theme="0"/>
      <name val="Aptos"/>
      <family val="2"/>
    </font>
    <font>
      <sz val="10"/>
      <color theme="1" tint="0.14999847407452621"/>
      <name val="Aptos"/>
      <family val="2"/>
    </font>
    <font>
      <b/>
      <sz val="22"/>
      <color rgb="FF1B5559"/>
      <name val="Aptos"/>
      <family val="2"/>
    </font>
    <font>
      <i/>
      <sz val="14"/>
      <color theme="1" tint="0.249977111117893"/>
      <name val="Aptos"/>
      <family val="2"/>
    </font>
    <font>
      <vertAlign val="superscript"/>
      <sz val="14"/>
      <color theme="1" tint="0.14996795556505021"/>
      <name val="Aptos"/>
      <family val="2"/>
    </font>
    <font>
      <i/>
      <u/>
      <sz val="16"/>
      <color theme="1" tint="0.249977111117893"/>
      <name val="Aptos"/>
      <family val="2"/>
    </font>
    <font>
      <b/>
      <u/>
      <sz val="16"/>
      <color theme="1" tint="0.14999847407452621"/>
      <name val="Aptos"/>
      <family val="2"/>
    </font>
    <font>
      <u/>
      <sz val="16"/>
      <color theme="1" tint="0.14999847407452621"/>
      <name val="Aptos"/>
      <family val="2"/>
    </font>
    <font>
      <i/>
      <u/>
      <sz val="14"/>
      <color rgb="FF00A7FF"/>
      <name val="Aptos"/>
      <family val="2"/>
    </font>
    <font>
      <b/>
      <i/>
      <sz val="10"/>
      <color rgb="FF000000"/>
      <name val="Aptos"/>
      <family val="2"/>
    </font>
    <font>
      <i/>
      <sz val="12"/>
      <color theme="1" tint="0.14999847407452621"/>
      <name val="Aptos"/>
      <family val="2"/>
    </font>
  </fonts>
  <fills count="18">
    <fill>
      <patternFill patternType="none"/>
    </fill>
    <fill>
      <patternFill patternType="gray125"/>
    </fill>
    <fill>
      <patternFill patternType="solid">
        <fgColor theme="0" tint="-0.14999847407452621"/>
        <bgColor indexed="64"/>
      </patternFill>
    </fill>
    <fill>
      <patternFill patternType="solid">
        <fgColor theme="2" tint="-4.9989318521683403E-2"/>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FF"/>
        <bgColor indexed="64"/>
      </patternFill>
    </fill>
    <fill>
      <patternFill patternType="solid">
        <fgColor theme="2" tint="-0.14999847407452621"/>
        <bgColor indexed="64"/>
      </patternFill>
    </fill>
    <fill>
      <patternFill patternType="solid">
        <fgColor rgb="FF004064"/>
        <bgColor indexed="64"/>
      </patternFill>
    </fill>
    <fill>
      <patternFill patternType="solid">
        <fgColor rgb="FFF0F9FA"/>
        <bgColor indexed="64"/>
      </patternFill>
    </fill>
    <fill>
      <patternFill patternType="solid">
        <fgColor rgb="FFF2F4F7"/>
        <bgColor indexed="64"/>
      </patternFill>
    </fill>
    <fill>
      <patternFill patternType="solid">
        <fgColor rgb="FFEDF8F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0" tint="-0.34998626667073579"/>
        <bgColor indexed="64"/>
      </patternFill>
    </fill>
  </fills>
  <borders count="10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right style="thin">
        <color theme="0" tint="-0.34998626667073579"/>
      </right>
      <top/>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bottom style="thin">
        <color rgb="FF004064"/>
      </bottom>
      <diagonal/>
    </border>
    <border>
      <left style="thin">
        <color theme="0" tint="-0.34998626667073579"/>
      </left>
      <right/>
      <top/>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34998626667073579"/>
      </top>
      <bottom style="thin">
        <color theme="0" tint="-0.249977111117893"/>
      </bottom>
      <diagonal/>
    </border>
    <border>
      <left/>
      <right/>
      <top style="thin">
        <color theme="0" tint="-0.34998626667073579"/>
      </top>
      <bottom style="thin">
        <color theme="0" tint="-0.249977111117893"/>
      </bottom>
      <diagonal/>
    </border>
    <border>
      <left/>
      <right style="thin">
        <color theme="0" tint="-0.34998626667073579"/>
      </right>
      <top style="thin">
        <color theme="0" tint="-0.34998626667073579"/>
      </top>
      <bottom style="thin">
        <color theme="0" tint="-0.249977111117893"/>
      </bottom>
      <diagonal/>
    </border>
    <border>
      <left style="thin">
        <color theme="0" tint="-0.34998626667073579"/>
      </left>
      <right/>
      <top style="thin">
        <color theme="0" tint="-0.24994659260841701"/>
      </top>
      <bottom/>
      <diagonal/>
    </border>
    <border>
      <left style="thin">
        <color theme="0" tint="-0.34998626667073579"/>
      </left>
      <right/>
      <top/>
      <bottom style="thin">
        <color theme="0" tint="-0.24994659260841701"/>
      </bottom>
      <diagonal/>
    </border>
    <border>
      <left style="thin">
        <color theme="0" tint="-0.34998626667073579"/>
      </left>
      <right/>
      <top style="thin">
        <color theme="0" tint="-0.34998626667073579"/>
      </top>
      <bottom style="thin">
        <color theme="0" tint="-0.14999847407452621"/>
      </bottom>
      <diagonal/>
    </border>
    <border>
      <left/>
      <right style="thin">
        <color theme="0" tint="-0.34998626667073579"/>
      </right>
      <top style="thin">
        <color theme="0" tint="-0.34998626667073579"/>
      </top>
      <bottom style="thin">
        <color theme="0" tint="-0.14999847407452621"/>
      </bottom>
      <diagonal/>
    </border>
    <border>
      <left style="thin">
        <color theme="0" tint="-0.34998626667073579"/>
      </left>
      <right/>
      <top style="thin">
        <color theme="0" tint="-0.14999847407452621"/>
      </top>
      <bottom style="thin">
        <color theme="0" tint="-0.14999847407452621"/>
      </bottom>
      <diagonal/>
    </border>
    <border>
      <left/>
      <right style="thin">
        <color theme="0" tint="-0.34998626667073579"/>
      </right>
      <top style="thin">
        <color theme="0" tint="-0.14999847407452621"/>
      </top>
      <bottom style="thin">
        <color theme="0" tint="-0.14999847407452621"/>
      </bottom>
      <diagonal/>
    </border>
    <border>
      <left/>
      <right/>
      <top style="thin">
        <color theme="0" tint="-0.34998626667073579"/>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right/>
      <top style="thin">
        <color theme="0" tint="-0.14999847407452621"/>
      </top>
      <bottom/>
      <diagonal/>
    </border>
    <border>
      <left/>
      <right style="thin">
        <color theme="0" tint="-0.14996795556505021"/>
      </right>
      <top style="thin">
        <color theme="0" tint="-0.14999847407452621"/>
      </top>
      <bottom/>
      <diagonal/>
    </border>
    <border>
      <left style="thin">
        <color theme="0" tint="-0.14996795556505021"/>
      </left>
      <right/>
      <top style="thin">
        <color theme="0" tint="-0.14996795556505021"/>
      </top>
      <bottom style="thin">
        <color theme="0" tint="-0.14996795556505021"/>
      </bottom>
      <diagonal/>
    </border>
    <border>
      <left/>
      <right style="thin">
        <color theme="0" tint="-0.34998626667073579"/>
      </right>
      <top style="thin">
        <color theme="0" tint="-0.14999847407452621"/>
      </top>
      <bottom/>
      <diagonal/>
    </border>
    <border>
      <left/>
      <right/>
      <top style="thin">
        <color theme="0" tint="-0.14996795556505021"/>
      </top>
      <bottom style="thin">
        <color theme="0" tint="-0.14996795556505021"/>
      </bottom>
      <diagonal/>
    </border>
    <border>
      <left style="thin">
        <color theme="0" tint="-0.14996795556505021"/>
      </left>
      <right/>
      <top style="thin">
        <color theme="0" tint="-0.14999847407452621"/>
      </top>
      <bottom style="thin">
        <color theme="0" tint="-0.34998626667073579"/>
      </bottom>
      <diagonal/>
    </border>
    <border>
      <left/>
      <right style="thin">
        <color theme="0" tint="-0.34998626667073579"/>
      </right>
      <top style="thin">
        <color theme="0" tint="-0.14996795556505021"/>
      </top>
      <bottom style="thin">
        <color theme="0" tint="-0.14996795556505021"/>
      </bottom>
      <diagonal/>
    </border>
    <border>
      <left style="thin">
        <color theme="0" tint="-0.14996795556505021"/>
      </left>
      <right/>
      <top style="double">
        <color theme="0" tint="-0.34998626667073579"/>
      </top>
      <bottom style="thin">
        <color theme="0" tint="-0.34998626667073579"/>
      </bottom>
      <diagonal/>
    </border>
    <border>
      <left/>
      <right style="thin">
        <color theme="0" tint="-0.14996795556505021"/>
      </right>
      <top style="double">
        <color theme="0" tint="-0.34998626667073579"/>
      </top>
      <bottom style="thin">
        <color theme="0" tint="-0.34998626667073579"/>
      </bottom>
      <diagonal/>
    </border>
    <border>
      <left/>
      <right style="thin">
        <color theme="0" tint="-0.34998626667073579"/>
      </right>
      <top style="double">
        <color theme="0" tint="-0.34998626667073579"/>
      </top>
      <bottom style="thin">
        <color theme="0" tint="-0.34998626667073579"/>
      </bottom>
      <diagonal/>
    </border>
    <border>
      <left/>
      <right/>
      <top style="double">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auto="1"/>
      </left>
      <right style="thin">
        <color auto="1"/>
      </right>
      <top style="thin">
        <color auto="1"/>
      </top>
      <bottom style="thin">
        <color auto="1"/>
      </bottom>
      <diagonal/>
    </border>
    <border>
      <left/>
      <right/>
      <top style="thin">
        <color theme="0" tint="-0.14999847407452621"/>
      </top>
      <bottom style="thin">
        <color theme="0" tint="-0.34998626667073579"/>
      </bottom>
      <diagonal/>
    </border>
    <border>
      <left style="thin">
        <color theme="0" tint="-0.24994659260841701"/>
      </left>
      <right/>
      <top style="thin">
        <color theme="0" tint="-0.34998626667073579"/>
      </top>
      <bottom style="thin">
        <color theme="0" tint="-0.34998626667073579"/>
      </bottom>
      <diagonal/>
    </border>
    <border>
      <left/>
      <right style="thin">
        <color theme="0" tint="-0.249977111117893"/>
      </right>
      <top/>
      <bottom/>
      <diagonal/>
    </border>
    <border>
      <left style="thin">
        <color theme="0" tint="-0.34998626667073579"/>
      </left>
      <right/>
      <top/>
      <bottom style="thin">
        <color theme="0" tint="-0.14999847407452621"/>
      </bottom>
      <diagonal/>
    </border>
    <border>
      <left/>
      <right/>
      <top/>
      <bottom style="thin">
        <color theme="0" tint="-0.14999847407452621"/>
      </bottom>
      <diagonal/>
    </border>
    <border>
      <left/>
      <right style="thin">
        <color theme="0" tint="-0.34998626667073579"/>
      </right>
      <top/>
      <bottom style="thin">
        <color theme="0" tint="-0.14999847407452621"/>
      </bottom>
      <diagonal/>
    </border>
    <border>
      <left style="thin">
        <color auto="1"/>
      </left>
      <right/>
      <top/>
      <bottom/>
      <diagonal/>
    </border>
    <border>
      <left style="thin">
        <color theme="0" tint="-0.34998626667073579"/>
      </left>
      <right style="thin">
        <color theme="0" tint="-0.24994659260841701"/>
      </right>
      <top style="thin">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style="thin">
        <color theme="0" tint="-0.34998626667073579"/>
      </left>
      <right/>
      <top style="thin">
        <color theme="0" tint="-0.34998626667073579"/>
      </top>
      <bottom style="thin">
        <color theme="0" tint="-0.14996795556505021"/>
      </bottom>
      <diagonal/>
    </border>
    <border>
      <left/>
      <right style="thin">
        <color theme="0" tint="-0.34998626667073579"/>
      </right>
      <top style="thin">
        <color theme="0" tint="-0.34998626667073579"/>
      </top>
      <bottom style="thin">
        <color theme="0" tint="-0.14996795556505021"/>
      </bottom>
      <diagonal/>
    </border>
    <border>
      <left style="thin">
        <color theme="0" tint="-0.34998626667073579"/>
      </left>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34998626667073579"/>
      </bottom>
      <diagonal/>
    </border>
    <border>
      <left/>
      <right style="thin">
        <color theme="0" tint="-0.34998626667073579"/>
      </right>
      <top style="thin">
        <color theme="0" tint="-0.14996795556505021"/>
      </top>
      <bottom style="thin">
        <color theme="0" tint="-0.34998626667073579"/>
      </bottom>
      <diagonal/>
    </border>
    <border>
      <left/>
      <right/>
      <top style="thin">
        <color theme="0" tint="-0.14996795556505021"/>
      </top>
      <bottom style="thin">
        <color theme="0" tint="-0.14993743705557422"/>
      </bottom>
      <diagonal/>
    </border>
    <border>
      <left style="thin">
        <color theme="0" tint="-0.34998626667073579"/>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style="thin">
        <color theme="0" tint="-0.24994659260841701"/>
      </left>
      <right/>
      <top style="thin">
        <color theme="0" tint="-0.14996795556505021"/>
      </top>
      <bottom style="thin">
        <color theme="0" tint="-0.14996795556505021"/>
      </bottom>
      <diagonal/>
    </border>
    <border>
      <left/>
      <right style="thin">
        <color theme="0" tint="-0.14993743705557422"/>
      </right>
      <top style="thin">
        <color theme="0" tint="-0.14996795556505021"/>
      </top>
      <bottom style="thin">
        <color theme="0" tint="-0.14993743705557422"/>
      </bottom>
      <diagonal/>
    </border>
    <border>
      <left/>
      <right style="thin">
        <color theme="0" tint="-0.14993743705557422"/>
      </right>
      <top style="thin">
        <color theme="0" tint="-0.14996795556505021"/>
      </top>
      <bottom style="thin">
        <color theme="0" tint="-0.14996795556505021"/>
      </bottom>
      <diagonal/>
    </border>
    <border>
      <left style="thin">
        <color theme="0" tint="-0.34998626667073579"/>
      </left>
      <right/>
      <top style="thin">
        <color theme="0" tint="-0.14996795556505021"/>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style="thin">
        <color theme="0" tint="-0.34998626667073579"/>
      </left>
      <right/>
      <top/>
      <bottom style="thin">
        <color theme="0" tint="-0.14996795556505021"/>
      </bottom>
      <diagonal/>
    </border>
    <border>
      <left/>
      <right style="thin">
        <color theme="0" tint="-0.14996795556505021"/>
      </right>
      <top/>
      <bottom style="thin">
        <color theme="0" tint="-0.14996795556505021"/>
      </bottom>
      <diagonal/>
    </border>
    <border>
      <left/>
      <right/>
      <top style="thin">
        <color theme="0" tint="-0.14996795556505021"/>
      </top>
      <bottom style="thin">
        <color theme="0" tint="-0.34998626667073579"/>
      </bottom>
      <diagonal/>
    </border>
    <border>
      <left/>
      <right/>
      <top style="thin">
        <color theme="0" tint="-0.34998626667073579"/>
      </top>
      <bottom style="thin">
        <color theme="0" tint="-0.14996795556505021"/>
      </bottom>
      <diagonal/>
    </border>
    <border>
      <left/>
      <right/>
      <top/>
      <bottom style="thin">
        <color theme="0" tint="-0.14996795556505021"/>
      </bottom>
      <diagonal/>
    </border>
    <border>
      <left/>
      <right style="thin">
        <color theme="0" tint="-0.34998626667073579"/>
      </right>
      <top/>
      <bottom style="thin">
        <color theme="0" tint="-0.14996795556505021"/>
      </bottom>
      <diagonal/>
    </border>
    <border>
      <left style="thin">
        <color theme="0" tint="-0.24994659260841701"/>
      </left>
      <right/>
      <top style="thin">
        <color theme="0" tint="-0.14996795556505021"/>
      </top>
      <bottom style="thin">
        <color theme="0" tint="-0.34998626667073579"/>
      </bottom>
      <diagonal/>
    </border>
    <border>
      <left/>
      <right style="thin">
        <color theme="0" tint="-0.14993743705557422"/>
      </right>
      <top style="thin">
        <color theme="0" tint="-0.14996795556505021"/>
      </top>
      <bottom style="thin">
        <color theme="0" tint="-0.34998626667073579"/>
      </bottom>
      <diagonal/>
    </border>
    <border>
      <left/>
      <right style="thin">
        <color theme="0" tint="-0.14999847407452621"/>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14999847407452621"/>
      </bottom>
      <diagonal/>
    </border>
    <border>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6795556505021"/>
      </right>
      <top style="thin">
        <color theme="0" tint="-0.14996795556505021"/>
      </top>
      <bottom style="thin">
        <color theme="0" tint="-0.14996795556505021"/>
      </bottom>
      <diagonal/>
    </border>
    <border>
      <left/>
      <right/>
      <top style="thin">
        <color theme="0" tint="-0.14996795556505021"/>
      </top>
      <bottom/>
      <diagonal/>
    </border>
    <border>
      <left/>
      <right style="thin">
        <color theme="0" tint="-0.34998626667073579"/>
      </right>
      <top style="thin">
        <color theme="0" tint="-0.14996795556505021"/>
      </top>
      <bottom/>
      <diagonal/>
    </border>
    <border>
      <left style="thin">
        <color theme="0" tint="-0.14996795556505021"/>
      </left>
      <right/>
      <top style="thin">
        <color theme="0" tint="-0.14996795556505021"/>
      </top>
      <bottom style="thin">
        <color theme="0" tint="-0.34998626667073579"/>
      </bottom>
      <diagonal/>
    </border>
    <border>
      <left/>
      <right style="thin">
        <color theme="0" tint="-0.14996795556505021"/>
      </right>
      <top style="thin">
        <color theme="0" tint="-0.14996795556505021"/>
      </top>
      <bottom style="thin">
        <color theme="0" tint="-0.34998626667073579"/>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6795556505021"/>
      </top>
      <bottom style="thin">
        <color theme="0" tint="-0.14996795556505021"/>
      </bottom>
      <diagonal/>
    </border>
    <border>
      <left/>
      <right/>
      <top style="thin">
        <color theme="0" tint="-0.14999847407452621"/>
      </top>
      <bottom style="thin">
        <color theme="0" tint="-0.14999847407452621"/>
      </bottom>
      <diagonal/>
    </border>
    <border>
      <left style="thin">
        <color theme="0" tint="-0.14993743705557422"/>
      </left>
      <right/>
      <top style="thin">
        <color theme="0" tint="-0.14996795556505021"/>
      </top>
      <bottom style="thin">
        <color theme="0" tint="-0.34998626667073579"/>
      </bottom>
      <diagonal/>
    </border>
    <border>
      <left style="thin">
        <color theme="0" tint="-0.14996795556505021"/>
      </left>
      <right/>
      <top style="thin">
        <color theme="0" tint="-0.14993743705557422"/>
      </top>
      <bottom style="thin">
        <color theme="0" tint="-0.34998626667073579"/>
      </bottom>
      <diagonal/>
    </border>
    <border>
      <left/>
      <right/>
      <top style="thin">
        <color theme="0" tint="-0.14993743705557422"/>
      </top>
      <bottom style="thin">
        <color theme="0" tint="-0.34998626667073579"/>
      </bottom>
      <diagonal/>
    </border>
    <border>
      <left/>
      <right style="thin">
        <color theme="0" tint="-0.34998626667073579"/>
      </right>
      <top style="thin">
        <color theme="0" tint="-0.14993743705557422"/>
      </top>
      <bottom style="thin">
        <color theme="0" tint="-0.34998626667073579"/>
      </bottom>
      <diagonal/>
    </border>
    <border>
      <left style="thin">
        <color theme="0" tint="-0.14993743705557422"/>
      </left>
      <right/>
      <top style="thin">
        <color theme="0" tint="-0.14993743705557422"/>
      </top>
      <bottom style="thin">
        <color theme="0" tint="-0.14993743705557422"/>
      </bottom>
      <diagonal/>
    </border>
    <border>
      <left/>
      <right style="thin">
        <color theme="0" tint="-0.34998626667073579"/>
      </right>
      <top style="thin">
        <color theme="0" tint="-0.14993743705557422"/>
      </top>
      <bottom style="thin">
        <color theme="0" tint="-0.14993743705557422"/>
      </bottom>
      <diagonal/>
    </border>
    <border>
      <left style="thin">
        <color theme="0" tint="-0.14996795556505021"/>
      </left>
      <right/>
      <top style="thin">
        <color theme="0" tint="-0.14993743705557422"/>
      </top>
      <bottom/>
      <diagonal/>
    </border>
    <border>
      <left/>
      <right style="thin">
        <color theme="0" tint="-0.14993743705557422"/>
      </right>
      <top style="thin">
        <color theme="0" tint="-0.14993743705557422"/>
      </top>
      <bottom/>
      <diagonal/>
    </border>
    <border>
      <left/>
      <right style="thin">
        <color theme="0" tint="-0.14993743705557422"/>
      </right>
      <top style="thin">
        <color theme="0" tint="-0.14999847407452621"/>
      </top>
      <bottom style="thin">
        <color theme="0" tint="-0.14999847407452621"/>
      </bottom>
      <diagonal/>
    </border>
    <border>
      <left/>
      <right style="thin">
        <color theme="0" tint="-0.14993743705557422"/>
      </right>
      <top style="thin">
        <color theme="0" tint="-0.14999847407452621"/>
      </top>
      <bottom style="thin">
        <color theme="0" tint="-0.34998626667073579"/>
      </bottom>
      <diagonal/>
    </border>
    <border>
      <left/>
      <right style="thin">
        <color theme="0" tint="-0.14996795556505021"/>
      </right>
      <top style="thin">
        <color theme="0" tint="-0.34998626667073579"/>
      </top>
      <bottom/>
      <diagonal/>
    </border>
    <border>
      <left style="thin">
        <color theme="0" tint="-0.34998626667073579"/>
      </left>
      <right/>
      <top style="thin">
        <color theme="0" tint="-0.14999847407452621"/>
      </top>
      <bottom style="thin">
        <color theme="0" tint="-0.34998626667073579"/>
      </bottom>
      <diagonal/>
    </border>
  </borders>
  <cellStyleXfs count="6">
    <xf numFmtId="0" fontId="0" fillId="0" borderId="0"/>
    <xf numFmtId="0" fontId="3" fillId="0" borderId="0" applyNumberForma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5" fillId="0" borderId="0" applyNumberFormat="0" applyFill="0" applyBorder="0" applyAlignment="0" applyProtection="0"/>
  </cellStyleXfs>
  <cellXfs count="403">
    <xf numFmtId="0" fontId="0" fillId="0" borderId="0" xfId="0"/>
    <xf numFmtId="49" fontId="13" fillId="5" borderId="61" xfId="0" applyNumberFormat="1" applyFont="1" applyFill="1" applyBorder="1" applyAlignment="1" applyProtection="1">
      <alignment horizontal="left" vertical="center" wrapText="1" indent="1"/>
      <protection locked="0"/>
    </xf>
    <xf numFmtId="0" fontId="13" fillId="0" borderId="63" xfId="0" applyFont="1" applyBorder="1" applyAlignment="1" applyProtection="1">
      <alignment horizontal="left" vertical="center" wrapText="1" indent="1"/>
      <protection locked="0"/>
    </xf>
    <xf numFmtId="0" fontId="13" fillId="5" borderId="63" xfId="0" applyFont="1" applyFill="1" applyBorder="1" applyAlignment="1" applyProtection="1">
      <alignment horizontal="left" vertical="center" wrapText="1" indent="1"/>
      <protection locked="0"/>
    </xf>
    <xf numFmtId="0" fontId="13" fillId="5" borderId="64" xfId="0" applyFont="1" applyFill="1" applyBorder="1" applyAlignment="1" applyProtection="1">
      <alignment horizontal="left" vertical="center" wrapText="1" indent="1"/>
      <protection locked="0"/>
    </xf>
    <xf numFmtId="164" fontId="13" fillId="5" borderId="64" xfId="2" applyNumberFormat="1" applyFont="1" applyFill="1" applyBorder="1" applyAlignment="1" applyProtection="1">
      <alignment horizontal="right" vertical="center" wrapText="1" indent="1"/>
      <protection locked="0"/>
    </xf>
    <xf numFmtId="164" fontId="13" fillId="5" borderId="37" xfId="2" applyNumberFormat="1" applyFont="1" applyFill="1" applyBorder="1" applyAlignment="1" applyProtection="1">
      <alignment horizontal="left" vertical="center" wrapText="1" indent="1"/>
      <protection locked="0"/>
    </xf>
    <xf numFmtId="164" fontId="13" fillId="5" borderId="64" xfId="2" applyNumberFormat="1" applyFont="1" applyFill="1" applyBorder="1" applyAlignment="1" applyProtection="1">
      <alignment horizontal="left" vertical="center" wrapText="1" indent="1"/>
      <protection locked="0"/>
    </xf>
    <xf numFmtId="43" fontId="13" fillId="5" borderId="35" xfId="2" applyFont="1" applyFill="1" applyBorder="1" applyAlignment="1" applyProtection="1">
      <alignment horizontal="left" vertical="center" wrapText="1" indent="1"/>
      <protection locked="0"/>
    </xf>
    <xf numFmtId="43" fontId="13" fillId="5" borderId="64" xfId="2" applyFont="1" applyFill="1" applyBorder="1" applyAlignment="1" applyProtection="1">
      <alignment horizontal="left" vertical="center" wrapText="1" indent="1"/>
      <protection locked="0"/>
    </xf>
    <xf numFmtId="43" fontId="13" fillId="5" borderId="79" xfId="2" applyFont="1" applyFill="1" applyBorder="1" applyAlignment="1" applyProtection="1">
      <alignment horizontal="left" vertical="center" wrapText="1" indent="1"/>
      <protection locked="0"/>
    </xf>
    <xf numFmtId="43" fontId="13" fillId="9" borderId="80" xfId="2" applyFont="1" applyFill="1" applyBorder="1" applyAlignment="1" applyProtection="1">
      <alignment horizontal="left" vertical="center" wrapText="1" indent="1"/>
      <protection locked="0"/>
    </xf>
    <xf numFmtId="165" fontId="13" fillId="5" borderId="84" xfId="2" applyNumberFormat="1" applyFont="1" applyFill="1" applyBorder="1" applyAlignment="1" applyProtection="1">
      <alignment horizontal="left" vertical="center" wrapText="1" indent="1"/>
      <protection locked="0"/>
    </xf>
    <xf numFmtId="164" fontId="13" fillId="5" borderId="76" xfId="2" applyNumberFormat="1" applyFont="1" applyFill="1" applyBorder="1" applyAlignment="1" applyProtection="1">
      <alignment horizontal="left" vertical="center" wrapText="1" indent="1"/>
      <protection locked="0"/>
    </xf>
    <xf numFmtId="164" fontId="13" fillId="5" borderId="27" xfId="2" applyNumberFormat="1" applyFont="1" applyFill="1" applyBorder="1" applyAlignment="1" applyProtection="1">
      <alignment horizontal="left" vertical="center" wrapText="1" indent="1"/>
      <protection locked="0"/>
    </xf>
    <xf numFmtId="164" fontId="13" fillId="5" borderId="29" xfId="2" applyNumberFormat="1" applyFont="1" applyFill="1" applyBorder="1" applyAlignment="1" applyProtection="1">
      <alignment horizontal="left" vertical="center" wrapText="1" indent="1"/>
      <protection locked="0"/>
    </xf>
    <xf numFmtId="165" fontId="13" fillId="5" borderId="37" xfId="3" applyNumberFormat="1" applyFont="1" applyFill="1" applyBorder="1" applyAlignment="1" applyProtection="1">
      <alignment horizontal="left" vertical="center" wrapText="1" indent="1"/>
      <protection locked="0"/>
    </xf>
    <xf numFmtId="165" fontId="13" fillId="5" borderId="64" xfId="3" applyNumberFormat="1" applyFont="1" applyFill="1" applyBorder="1" applyAlignment="1" applyProtection="1">
      <alignment horizontal="left" vertical="center" wrapText="1" indent="1"/>
      <protection locked="0"/>
    </xf>
    <xf numFmtId="0" fontId="10" fillId="0" borderId="0" xfId="0" applyFont="1"/>
    <xf numFmtId="0" fontId="57" fillId="16" borderId="0" xfId="0" applyFont="1" applyFill="1" applyAlignment="1">
      <alignment horizontal="left" indent="1"/>
    </xf>
    <xf numFmtId="0" fontId="46" fillId="10" borderId="0" xfId="0" applyFont="1" applyFill="1" applyAlignment="1">
      <alignment horizontal="center"/>
    </xf>
    <xf numFmtId="0" fontId="24" fillId="4" borderId="5" xfId="0" applyFont="1" applyFill="1" applyBorder="1" applyAlignment="1">
      <alignment horizontal="left" indent="1"/>
    </xf>
    <xf numFmtId="165" fontId="46" fillId="3" borderId="5" xfId="3" applyNumberFormat="1" applyFont="1" applyFill="1" applyBorder="1" applyProtection="1"/>
    <xf numFmtId="165" fontId="46" fillId="3" borderId="5" xfId="0" applyNumberFormat="1" applyFont="1" applyFill="1" applyBorder="1"/>
    <xf numFmtId="0" fontId="10" fillId="4" borderId="5" xfId="0" applyFont="1" applyFill="1" applyBorder="1" applyAlignment="1">
      <alignment horizontal="left" indent="1"/>
    </xf>
    <xf numFmtId="9" fontId="46" fillId="3" borderId="5" xfId="3" applyNumberFormat="1" applyFont="1" applyFill="1" applyBorder="1" applyProtection="1"/>
    <xf numFmtId="9" fontId="46" fillId="3" borderId="5" xfId="0" applyNumberFormat="1" applyFont="1" applyFill="1" applyBorder="1"/>
    <xf numFmtId="0" fontId="10" fillId="0" borderId="0" xfId="0" applyFont="1" applyAlignment="1">
      <alignment horizontal="left" indent="1"/>
    </xf>
    <xf numFmtId="0" fontId="24" fillId="0" borderId="0" xfId="0" applyFont="1"/>
    <xf numFmtId="0" fontId="7" fillId="0" borderId="0" xfId="0" applyFont="1"/>
    <xf numFmtId="0" fontId="54" fillId="0" borderId="0" xfId="0" applyFont="1"/>
    <xf numFmtId="0" fontId="8" fillId="0" borderId="0" xfId="0" applyFont="1" applyAlignment="1">
      <alignment horizontal="right" vertical="center" wrapText="1"/>
    </xf>
    <xf numFmtId="0" fontId="8" fillId="0" borderId="0" xfId="0" applyFont="1" applyAlignment="1">
      <alignment horizontal="center" vertical="center" wrapText="1"/>
    </xf>
    <xf numFmtId="0" fontId="8" fillId="0" borderId="0" xfId="0" applyFont="1" applyAlignment="1">
      <alignment vertical="center"/>
    </xf>
    <xf numFmtId="0" fontId="8" fillId="3" borderId="1" xfId="0" applyFont="1" applyFill="1" applyBorder="1" applyAlignment="1">
      <alignment vertical="top" wrapText="1"/>
    </xf>
    <xf numFmtId="0" fontId="46" fillId="0" borderId="0" xfId="0" applyFont="1"/>
    <xf numFmtId="0" fontId="10" fillId="0" borderId="1" xfId="0" applyFont="1" applyBorder="1" applyAlignment="1">
      <alignment vertical="top" wrapText="1"/>
    </xf>
    <xf numFmtId="0" fontId="46" fillId="13" borderId="1" xfId="0" applyFont="1" applyFill="1" applyBorder="1" applyAlignment="1">
      <alignment vertical="top" wrapText="1"/>
    </xf>
    <xf numFmtId="0" fontId="52" fillId="0" borderId="0" xfId="1" applyFont="1" applyProtection="1"/>
    <xf numFmtId="0" fontId="52" fillId="0" borderId="0" xfId="1" applyFont="1" applyAlignment="1" applyProtection="1">
      <alignment vertical="center"/>
    </xf>
    <xf numFmtId="0" fontId="10" fillId="0" borderId="0" xfId="0" applyFont="1" applyAlignment="1">
      <alignment vertical="top" wrapText="1"/>
    </xf>
    <xf numFmtId="44" fontId="46" fillId="13" borderId="1" xfId="3" applyFont="1" applyFill="1" applyBorder="1" applyAlignment="1" applyProtection="1">
      <alignment vertical="top" wrapText="1"/>
    </xf>
    <xf numFmtId="17" fontId="10" fillId="0" borderId="0" xfId="0" applyNumberFormat="1" applyFont="1"/>
    <xf numFmtId="0" fontId="55" fillId="0" borderId="1" xfId="0" applyFont="1" applyBorder="1" applyAlignment="1">
      <alignment vertical="top" wrapText="1"/>
    </xf>
    <xf numFmtId="164" fontId="46" fillId="13" borderId="1" xfId="2" applyNumberFormat="1" applyFont="1" applyFill="1" applyBorder="1" applyAlignment="1" applyProtection="1">
      <alignment vertical="top" wrapText="1"/>
    </xf>
    <xf numFmtId="165" fontId="7" fillId="0" borderId="44" xfId="3" applyNumberFormat="1" applyFont="1" applyBorder="1" applyProtection="1"/>
    <xf numFmtId="164" fontId="29" fillId="13" borderId="75" xfId="2" applyNumberFormat="1" applyFont="1" applyFill="1" applyBorder="1" applyAlignment="1" applyProtection="1">
      <alignment vertical="center" wrapText="1"/>
    </xf>
    <xf numFmtId="164" fontId="29" fillId="13" borderId="13" xfId="2" applyNumberFormat="1" applyFont="1" applyFill="1" applyBorder="1" applyAlignment="1" applyProtection="1">
      <alignment vertical="center" wrapText="1"/>
    </xf>
    <xf numFmtId="165" fontId="29" fillId="2" borderId="58" xfId="3" applyNumberFormat="1" applyFont="1" applyFill="1" applyBorder="1" applyAlignment="1" applyProtection="1">
      <alignment vertical="center" wrapText="1"/>
    </xf>
    <xf numFmtId="164" fontId="29" fillId="13" borderId="64" xfId="2" applyNumberFormat="1" applyFont="1" applyFill="1" applyBorder="1" applyAlignment="1" applyProtection="1">
      <alignment vertical="center" wrapText="1"/>
    </xf>
    <xf numFmtId="164" fontId="29" fillId="13" borderId="37" xfId="2" applyNumberFormat="1" applyFont="1" applyFill="1" applyBorder="1" applyAlignment="1" applyProtection="1">
      <alignment vertical="center" wrapText="1"/>
    </xf>
    <xf numFmtId="43" fontId="24" fillId="12" borderId="0" xfId="2" applyFont="1" applyFill="1" applyBorder="1" applyAlignment="1" applyProtection="1">
      <alignment vertical="center" wrapText="1"/>
    </xf>
    <xf numFmtId="43" fontId="24" fillId="12" borderId="7" xfId="2" applyFont="1" applyFill="1" applyBorder="1" applyAlignment="1" applyProtection="1">
      <alignment vertical="center" wrapText="1"/>
    </xf>
    <xf numFmtId="167" fontId="29" fillId="13" borderId="75" xfId="3" applyNumberFormat="1" applyFont="1" applyFill="1" applyBorder="1" applyAlignment="1" applyProtection="1">
      <alignment horizontal="right" vertical="center" wrapText="1" indent="1"/>
    </xf>
    <xf numFmtId="43" fontId="24" fillId="12" borderId="8" xfId="2" applyFont="1" applyFill="1" applyBorder="1" applyAlignment="1" applyProtection="1">
      <alignment vertical="center" wrapText="1"/>
    </xf>
    <xf numFmtId="165" fontId="29" fillId="2" borderId="70" xfId="3" applyNumberFormat="1" applyFont="1" applyFill="1" applyBorder="1" applyAlignment="1" applyProtection="1">
      <alignment vertical="center" wrapText="1"/>
    </xf>
    <xf numFmtId="164" fontId="29" fillId="2" borderId="58" xfId="2" applyNumberFormat="1" applyFont="1" applyFill="1" applyBorder="1" applyAlignment="1" applyProtection="1">
      <alignment vertical="center" wrapText="1"/>
    </xf>
    <xf numFmtId="164" fontId="29" fillId="2" borderId="93" xfId="2" applyNumberFormat="1" applyFont="1" applyFill="1" applyBorder="1" applyAlignment="1" applyProtection="1">
      <alignment vertical="center" wrapText="1"/>
    </xf>
    <xf numFmtId="43" fontId="25" fillId="12" borderId="7" xfId="2" applyFont="1" applyFill="1" applyBorder="1" applyAlignment="1" applyProtection="1">
      <alignment vertical="center" wrapText="1"/>
    </xf>
    <xf numFmtId="1" fontId="13" fillId="12" borderId="0" xfId="2" applyNumberFormat="1" applyFont="1" applyFill="1" applyBorder="1" applyAlignment="1" applyProtection="1">
      <alignment horizontal="left" vertical="center" wrapText="1" indent="1"/>
    </xf>
    <xf numFmtId="43" fontId="10" fillId="12" borderId="7" xfId="2" applyFont="1" applyFill="1" applyBorder="1" applyAlignment="1" applyProtection="1">
      <alignment horizontal="left" vertical="center" wrapText="1" indent="1"/>
    </xf>
    <xf numFmtId="0" fontId="65" fillId="12" borderId="0" xfId="1" applyFont="1" applyFill="1" applyBorder="1" applyAlignment="1" applyProtection="1">
      <alignment horizontal="left" vertical="center" indent="1"/>
    </xf>
    <xf numFmtId="1" fontId="13" fillId="12" borderId="15" xfId="2" applyNumberFormat="1" applyFont="1" applyFill="1" applyBorder="1" applyAlignment="1" applyProtection="1">
      <alignment horizontal="left" vertical="center" wrapText="1" indent="1"/>
    </xf>
    <xf numFmtId="43" fontId="10" fillId="12" borderId="8" xfId="2" applyFont="1" applyFill="1" applyBorder="1" applyAlignment="1" applyProtection="1">
      <alignment horizontal="left" vertical="center" wrapText="1" indent="1"/>
    </xf>
    <xf numFmtId="1" fontId="13" fillId="12" borderId="35" xfId="2" applyNumberFormat="1" applyFont="1" applyFill="1" applyBorder="1" applyAlignment="1" applyProtection="1">
      <alignment horizontal="left" vertical="center" wrapText="1" indent="1"/>
    </xf>
    <xf numFmtId="43" fontId="10" fillId="12" borderId="37" xfId="2" applyFont="1" applyFill="1" applyBorder="1" applyAlignment="1" applyProtection="1">
      <alignment horizontal="left" vertical="center" wrapText="1" indent="1"/>
    </xf>
    <xf numFmtId="44" fontId="49" fillId="13" borderId="75" xfId="2" applyNumberFormat="1" applyFont="1" applyFill="1" applyBorder="1" applyAlignment="1" applyProtection="1">
      <alignment horizontal="left" vertical="center" wrapText="1" indent="1"/>
    </xf>
    <xf numFmtId="44" fontId="49" fillId="13" borderId="58" xfId="2" applyNumberFormat="1" applyFont="1" applyFill="1" applyBorder="1" applyAlignment="1" applyProtection="1">
      <alignment horizontal="left" vertical="center" wrapText="1" indent="1"/>
    </xf>
    <xf numFmtId="1" fontId="13" fillId="12" borderId="6" xfId="2" applyNumberFormat="1" applyFont="1" applyFill="1" applyBorder="1" applyAlignment="1" applyProtection="1">
      <alignment horizontal="left" vertical="center" wrapText="1" indent="1"/>
    </xf>
    <xf numFmtId="43" fontId="10" fillId="12" borderId="43" xfId="2" applyFont="1" applyFill="1" applyBorder="1" applyAlignment="1" applyProtection="1">
      <alignment horizontal="left" vertical="center" wrapText="1" indent="1"/>
    </xf>
    <xf numFmtId="43" fontId="13" fillId="12" borderId="0" xfId="2" applyFont="1" applyFill="1" applyBorder="1" applyAlignment="1" applyProtection="1">
      <alignment horizontal="left" vertical="center" wrapText="1" indent="1"/>
    </xf>
    <xf numFmtId="43" fontId="13" fillId="12" borderId="7" xfId="2" applyFont="1" applyFill="1" applyBorder="1" applyAlignment="1" applyProtection="1">
      <alignment horizontal="left" vertical="center" wrapText="1" indent="1"/>
    </xf>
    <xf numFmtId="44" fontId="13" fillId="12" borderId="0" xfId="2" applyNumberFormat="1" applyFont="1" applyFill="1" applyBorder="1" applyAlignment="1" applyProtection="1">
      <alignment horizontal="left" vertical="center" wrapText="1" indent="1"/>
    </xf>
    <xf numFmtId="44" fontId="13" fillId="12" borderId="8" xfId="2" applyNumberFormat="1" applyFont="1" applyFill="1" applyBorder="1" applyAlignment="1" applyProtection="1">
      <alignment horizontal="left" vertical="center" wrapText="1" indent="1"/>
    </xf>
    <xf numFmtId="43" fontId="13" fillId="12" borderId="35" xfId="2" applyFont="1" applyFill="1" applyBorder="1" applyAlignment="1" applyProtection="1">
      <alignment horizontal="centerContinuous" vertical="center" wrapText="1"/>
    </xf>
    <xf numFmtId="43" fontId="13" fillId="12" borderId="37" xfId="2" applyFont="1" applyFill="1" applyBorder="1" applyAlignment="1" applyProtection="1">
      <alignment horizontal="centerContinuous" vertical="center" wrapText="1"/>
    </xf>
    <xf numFmtId="43" fontId="13" fillId="12" borderId="35" xfId="2" applyFont="1" applyFill="1" applyBorder="1" applyAlignment="1" applyProtection="1">
      <alignment horizontal="left" vertical="center" wrapText="1" indent="1"/>
    </xf>
    <xf numFmtId="43" fontId="13" fillId="12" borderId="37" xfId="2" applyFont="1" applyFill="1" applyBorder="1" applyAlignment="1" applyProtection="1">
      <alignment horizontal="left" vertical="center" wrapText="1" indent="1"/>
    </xf>
    <xf numFmtId="165" fontId="29" fillId="13" borderId="37" xfId="3" applyNumberFormat="1" applyFont="1" applyFill="1" applyBorder="1" applyAlignment="1" applyProtection="1">
      <alignment horizontal="left" vertical="center" wrapText="1" indent="1"/>
    </xf>
    <xf numFmtId="165" fontId="29" fillId="13" borderId="13" xfId="3" applyNumberFormat="1" applyFont="1" applyFill="1" applyBorder="1" applyAlignment="1" applyProtection="1">
      <alignment horizontal="left" vertical="center" wrapText="1" indent="1"/>
    </xf>
    <xf numFmtId="43" fontId="13" fillId="12" borderId="14" xfId="2" applyFont="1" applyFill="1" applyBorder="1" applyAlignment="1" applyProtection="1">
      <alignment horizontal="left" vertical="center" wrapText="1" indent="1"/>
    </xf>
    <xf numFmtId="43" fontId="13" fillId="12" borderId="15" xfId="2" applyFont="1" applyFill="1" applyBorder="1" applyAlignment="1" applyProtection="1">
      <alignment horizontal="left" vertical="center" wrapText="1" indent="1"/>
    </xf>
    <xf numFmtId="43" fontId="13" fillId="12" borderId="43" xfId="2" applyFont="1" applyFill="1" applyBorder="1" applyAlignment="1" applyProtection="1">
      <alignment horizontal="left" vertical="center" wrapText="1" indent="1"/>
    </xf>
    <xf numFmtId="165" fontId="29" fillId="13" borderId="75" xfId="3" applyNumberFormat="1" applyFont="1" applyFill="1" applyBorder="1" applyAlignment="1" applyProtection="1">
      <alignment horizontal="left" vertical="center" wrapText="1" indent="1"/>
    </xf>
    <xf numFmtId="44" fontId="15" fillId="12" borderId="0" xfId="3" applyFont="1" applyFill="1" applyBorder="1" applyAlignment="1" applyProtection="1">
      <alignment horizontal="left" vertical="center" wrapText="1" indent="1"/>
    </xf>
    <xf numFmtId="0" fontId="0" fillId="11" borderId="9" xfId="0" applyFill="1" applyBorder="1"/>
    <xf numFmtId="0" fontId="0" fillId="11" borderId="11" xfId="0" applyFill="1" applyBorder="1"/>
    <xf numFmtId="0" fontId="0" fillId="6" borderId="17" xfId="0" applyFill="1" applyBorder="1"/>
    <xf numFmtId="0" fontId="8" fillId="6" borderId="7" xfId="0" applyFont="1" applyFill="1" applyBorder="1" applyAlignment="1">
      <alignment vertical="center" wrapText="1"/>
    </xf>
    <xf numFmtId="0" fontId="7" fillId="9" borderId="0" xfId="0" applyFont="1" applyFill="1"/>
    <xf numFmtId="0" fontId="10" fillId="12" borderId="0" xfId="0" applyFont="1" applyFill="1" applyAlignment="1">
      <alignment horizontal="left" vertical="center" wrapText="1" indent="1"/>
    </xf>
    <xf numFmtId="0" fontId="13" fillId="12" borderId="0" xfId="0" applyFont="1" applyFill="1" applyAlignment="1">
      <alignment horizontal="left" vertical="center" wrapText="1" indent="1"/>
    </xf>
    <xf numFmtId="0" fontId="0" fillId="0" borderId="0" xfId="0" applyAlignment="1">
      <alignment vertical="center"/>
    </xf>
    <xf numFmtId="0" fontId="35" fillId="14" borderId="56" xfId="0" applyFont="1" applyFill="1" applyBorder="1" applyAlignment="1">
      <alignment horizontal="left" vertical="center" wrapText="1" indent="1"/>
    </xf>
    <xf numFmtId="0" fontId="35" fillId="14" borderId="37" xfId="0" applyFont="1" applyFill="1" applyBorder="1" applyAlignment="1">
      <alignment horizontal="left" vertical="center" indent="1"/>
    </xf>
    <xf numFmtId="0" fontId="34" fillId="0" borderId="56" xfId="0" applyFont="1" applyBorder="1" applyAlignment="1">
      <alignment horizontal="left" vertical="top" wrapText="1" indent="1"/>
    </xf>
    <xf numFmtId="0" fontId="34" fillId="0" borderId="37" xfId="0" applyFont="1" applyBorder="1" applyAlignment="1">
      <alignment horizontal="left" vertical="top" wrapText="1" indent="1"/>
    </xf>
    <xf numFmtId="0" fontId="34" fillId="0" borderId="57" xfId="0" applyFont="1" applyBorder="1" applyAlignment="1">
      <alignment horizontal="left" vertical="top" wrapText="1" indent="1"/>
    </xf>
    <xf numFmtId="0" fontId="34" fillId="0" borderId="58" xfId="0" applyFont="1" applyBorder="1" applyAlignment="1">
      <alignment horizontal="left" vertical="top" wrapText="1" indent="1"/>
    </xf>
    <xf numFmtId="0" fontId="36" fillId="0" borderId="0" xfId="0" applyFont="1"/>
    <xf numFmtId="0" fontId="7" fillId="12" borderId="0" xfId="0" applyFont="1" applyFill="1"/>
    <xf numFmtId="0" fontId="7" fillId="11" borderId="0" xfId="0" applyFont="1" applyFill="1"/>
    <xf numFmtId="0" fontId="7" fillId="0" borderId="16" xfId="0" applyFont="1" applyBorder="1"/>
    <xf numFmtId="0" fontId="39" fillId="0" borderId="44" xfId="0" applyFont="1" applyBorder="1"/>
    <xf numFmtId="0" fontId="7" fillId="0" borderId="44" xfId="0" applyFont="1" applyBorder="1"/>
    <xf numFmtId="0" fontId="66" fillId="0" borderId="44" xfId="0" applyFont="1" applyBorder="1"/>
    <xf numFmtId="0" fontId="39" fillId="0" borderId="0" xfId="0" applyFont="1"/>
    <xf numFmtId="0" fontId="7" fillId="17" borderId="0" xfId="0" applyFont="1" applyFill="1"/>
    <xf numFmtId="0" fontId="7" fillId="2" borderId="0" xfId="0" applyFont="1" applyFill="1"/>
    <xf numFmtId="49" fontId="46" fillId="13" borderId="1" xfId="0" applyNumberFormat="1" applyFont="1" applyFill="1" applyBorder="1" applyAlignment="1">
      <alignment vertical="top" wrapText="1"/>
    </xf>
    <xf numFmtId="14" fontId="46" fillId="13" borderId="1" xfId="0" applyNumberFormat="1" applyFont="1" applyFill="1" applyBorder="1" applyAlignment="1">
      <alignment vertical="top" wrapText="1"/>
    </xf>
    <xf numFmtId="0" fontId="0" fillId="0" borderId="0" xfId="0" applyAlignment="1">
      <alignment wrapText="1"/>
    </xf>
    <xf numFmtId="49" fontId="46" fillId="13" borderId="1" xfId="0" applyNumberFormat="1" applyFont="1" applyFill="1" applyBorder="1" applyAlignment="1">
      <alignment vertical="top"/>
    </xf>
    <xf numFmtId="14" fontId="46" fillId="13" borderId="1" xfId="0" applyNumberFormat="1" applyFont="1" applyFill="1" applyBorder="1" applyAlignment="1">
      <alignment vertical="top"/>
    </xf>
    <xf numFmtId="0" fontId="46" fillId="13" borderId="1" xfId="0" applyFont="1" applyFill="1" applyBorder="1" applyAlignment="1">
      <alignment vertical="top"/>
    </xf>
    <xf numFmtId="0" fontId="7" fillId="11" borderId="9" xfId="0" applyFont="1" applyFill="1" applyBorder="1"/>
    <xf numFmtId="0" fontId="7" fillId="11" borderId="10" xfId="0" applyFont="1" applyFill="1" applyBorder="1"/>
    <xf numFmtId="0" fontId="7" fillId="11" borderId="11" xfId="0" applyFont="1" applyFill="1" applyBorder="1"/>
    <xf numFmtId="0" fontId="28" fillId="0" borderId="0" xfId="0" applyFont="1"/>
    <xf numFmtId="0" fontId="12" fillId="6" borderId="17" xfId="0" applyFont="1" applyFill="1" applyBorder="1" applyAlignment="1">
      <alignment wrapText="1"/>
    </xf>
    <xf numFmtId="0" fontId="12" fillId="6" borderId="0" xfId="0" applyFont="1" applyFill="1" applyAlignment="1">
      <alignment wrapText="1"/>
    </xf>
    <xf numFmtId="0" fontId="12" fillId="6" borderId="7" xfId="0" applyFont="1" applyFill="1" applyBorder="1" applyAlignment="1">
      <alignment wrapText="1"/>
    </xf>
    <xf numFmtId="0" fontId="23" fillId="0" borderId="0" xfId="0" applyFont="1" applyAlignment="1">
      <alignment horizontal="left" vertical="center"/>
    </xf>
    <xf numFmtId="0" fontId="24" fillId="12" borderId="17" xfId="0" applyFont="1" applyFill="1" applyBorder="1" applyAlignment="1">
      <alignment vertical="center" wrapText="1"/>
    </xf>
    <xf numFmtId="44" fontId="24" fillId="12" borderId="0" xfId="0" applyNumberFormat="1" applyFont="1" applyFill="1" applyAlignment="1">
      <alignment vertical="center" wrapText="1"/>
    </xf>
    <xf numFmtId="0" fontId="24" fillId="12" borderId="0" xfId="0" applyFont="1" applyFill="1" applyAlignment="1">
      <alignment vertical="center" wrapText="1"/>
    </xf>
    <xf numFmtId="0" fontId="19" fillId="8" borderId="54" xfId="0" applyFont="1" applyFill="1" applyBorder="1" applyAlignment="1">
      <alignment horizontal="centerContinuous"/>
    </xf>
    <xf numFmtId="0" fontId="20" fillId="8" borderId="71" xfId="0" applyFont="1" applyFill="1" applyBorder="1" applyAlignment="1">
      <alignment horizontal="centerContinuous"/>
    </xf>
    <xf numFmtId="0" fontId="9" fillId="8" borderId="55" xfId="0" applyFont="1" applyFill="1" applyBorder="1" applyAlignment="1">
      <alignment horizontal="centerContinuous"/>
    </xf>
    <xf numFmtId="0" fontId="29" fillId="0" borderId="0" xfId="0" applyFont="1"/>
    <xf numFmtId="0" fontId="24" fillId="12" borderId="56" xfId="0" applyFont="1" applyFill="1" applyBorder="1" applyAlignment="1">
      <alignment vertical="center" wrapText="1"/>
    </xf>
    <xf numFmtId="44" fontId="24" fillId="12" borderId="35" xfId="0" applyNumberFormat="1" applyFont="1" applyFill="1" applyBorder="1" applyAlignment="1">
      <alignment vertical="center" wrapText="1"/>
    </xf>
    <xf numFmtId="0" fontId="24" fillId="12" borderId="35" xfId="0" applyFont="1" applyFill="1" applyBorder="1" applyAlignment="1">
      <alignment vertical="center" wrapText="1"/>
    </xf>
    <xf numFmtId="44" fontId="24" fillId="12" borderId="37" xfId="0" applyNumberFormat="1" applyFont="1" applyFill="1" applyBorder="1" applyAlignment="1">
      <alignment vertical="center" wrapText="1"/>
    </xf>
    <xf numFmtId="0" fontId="24" fillId="13" borderId="12" xfId="0" applyFont="1" applyFill="1" applyBorder="1" applyAlignment="1">
      <alignment horizontal="left" vertical="center" wrapText="1" indent="1"/>
    </xf>
    <xf numFmtId="0" fontId="24" fillId="13" borderId="8" xfId="0" applyFont="1" applyFill="1" applyBorder="1" applyAlignment="1">
      <alignment horizontal="left" vertical="center" wrapText="1" indent="1"/>
    </xf>
    <xf numFmtId="0" fontId="20" fillId="8" borderId="55" xfId="0" applyFont="1" applyFill="1" applyBorder="1" applyAlignment="1">
      <alignment horizontal="centerContinuous"/>
    </xf>
    <xf numFmtId="0" fontId="23" fillId="0" borderId="0" xfId="0" applyFont="1"/>
    <xf numFmtId="44" fontId="24" fillId="12" borderId="7" xfId="0" applyNumberFormat="1" applyFont="1" applyFill="1" applyBorder="1" applyAlignment="1">
      <alignment vertical="center" wrapText="1"/>
    </xf>
    <xf numFmtId="0" fontId="24" fillId="12" borderId="12" xfId="0" applyFont="1" applyFill="1" applyBorder="1" applyAlignment="1">
      <alignment vertical="center" wrapText="1"/>
    </xf>
    <xf numFmtId="0" fontId="24" fillId="12" borderId="8" xfId="0" applyFont="1" applyFill="1" applyBorder="1" applyAlignment="1">
      <alignment vertical="center" wrapText="1"/>
    </xf>
    <xf numFmtId="44" fontId="24" fillId="12" borderId="8" xfId="0" applyNumberFormat="1" applyFont="1" applyFill="1" applyBorder="1" applyAlignment="1">
      <alignment vertical="center" wrapText="1"/>
    </xf>
    <xf numFmtId="0" fontId="25" fillId="2" borderId="83" xfId="0" applyFont="1" applyFill="1" applyBorder="1" applyAlignment="1">
      <alignment horizontal="left" vertical="center" wrapText="1" indent="1"/>
    </xf>
    <xf numFmtId="0" fontId="24" fillId="12" borderId="68" xfId="0" applyFont="1" applyFill="1" applyBorder="1" applyAlignment="1">
      <alignment vertical="center" wrapText="1"/>
    </xf>
    <xf numFmtId="44" fontId="24" fillId="12" borderId="72" xfId="0" applyNumberFormat="1" applyFont="1" applyFill="1" applyBorder="1" applyAlignment="1">
      <alignment vertical="center" wrapText="1"/>
    </xf>
    <xf numFmtId="0" fontId="24" fillId="12" borderId="72" xfId="0" applyFont="1" applyFill="1" applyBorder="1" applyAlignment="1">
      <alignment vertical="center" wrapText="1"/>
    </xf>
    <xf numFmtId="44" fontId="24" fillId="12" borderId="73" xfId="0" applyNumberFormat="1" applyFont="1" applyFill="1" applyBorder="1" applyAlignment="1">
      <alignment vertical="center" wrapText="1"/>
    </xf>
    <xf numFmtId="0" fontId="24" fillId="13" borderId="56" xfId="0" applyFont="1" applyFill="1" applyBorder="1" applyAlignment="1">
      <alignment horizontal="left" vertical="center" wrapText="1" indent="1"/>
    </xf>
    <xf numFmtId="0" fontId="24" fillId="13" borderId="35" xfId="0" applyFont="1" applyFill="1" applyBorder="1" applyAlignment="1">
      <alignment horizontal="left" vertical="center" wrapText="1" indent="1"/>
    </xf>
    <xf numFmtId="0" fontId="25" fillId="13" borderId="57" xfId="0" applyFont="1" applyFill="1" applyBorder="1" applyAlignment="1">
      <alignment horizontal="left" vertical="center" wrapText="1" indent="1"/>
    </xf>
    <xf numFmtId="0" fontId="25" fillId="13" borderId="70" xfId="0" applyFont="1" applyFill="1" applyBorder="1" applyAlignment="1">
      <alignment horizontal="left" vertical="center" wrapText="1" indent="1"/>
    </xf>
    <xf numFmtId="0" fontId="25" fillId="2" borderId="74" xfId="0" applyFont="1" applyFill="1" applyBorder="1" applyAlignment="1">
      <alignment vertical="center" wrapText="1"/>
    </xf>
    <xf numFmtId="0" fontId="19" fillId="8" borderId="9" xfId="0" applyFont="1" applyFill="1" applyBorder="1" applyAlignment="1">
      <alignment horizontal="centerContinuous"/>
    </xf>
    <xf numFmtId="0" fontId="20" fillId="8" borderId="10" xfId="0" applyFont="1" applyFill="1" applyBorder="1" applyAlignment="1">
      <alignment horizontal="centerContinuous"/>
    </xf>
    <xf numFmtId="0" fontId="20" fillId="8" borderId="11" xfId="0" applyFont="1" applyFill="1" applyBorder="1" applyAlignment="1">
      <alignment horizontal="centerContinuous"/>
    </xf>
    <xf numFmtId="165" fontId="29" fillId="13" borderId="64" xfId="0" applyNumberFormat="1" applyFont="1" applyFill="1" applyBorder="1" applyAlignment="1">
      <alignment vertical="center" wrapText="1"/>
    </xf>
    <xf numFmtId="165" fontId="29" fillId="13" borderId="64" xfId="0" applyNumberFormat="1" applyFont="1" applyFill="1" applyBorder="1" applyAlignment="1">
      <alignment horizontal="right" vertical="center" wrapText="1"/>
    </xf>
    <xf numFmtId="0" fontId="24" fillId="12" borderId="0" xfId="0" applyFont="1" applyFill="1" applyAlignment="1">
      <alignment horizontal="centerContinuous" vertical="center" wrapText="1"/>
    </xf>
    <xf numFmtId="44" fontId="24" fillId="12" borderId="0" xfId="0" applyNumberFormat="1" applyFont="1" applyFill="1" applyAlignment="1">
      <alignment horizontal="centerContinuous" vertical="center" wrapText="1"/>
    </xf>
    <xf numFmtId="44" fontId="24" fillId="12" borderId="7" xfId="0" applyNumberFormat="1" applyFont="1" applyFill="1" applyBorder="1" applyAlignment="1">
      <alignment horizontal="centerContinuous" vertical="center" wrapText="1"/>
    </xf>
    <xf numFmtId="0" fontId="24" fillId="13" borderId="33" xfId="0" applyFont="1" applyFill="1" applyBorder="1" applyAlignment="1">
      <alignment horizontal="left" vertical="center" wrapText="1" indent="1"/>
    </xf>
    <xf numFmtId="0" fontId="38" fillId="15" borderId="83" xfId="0" applyFont="1" applyFill="1" applyBorder="1" applyAlignment="1">
      <alignment vertical="center" wrapText="1"/>
    </xf>
    <xf numFmtId="165" fontId="38" fillId="15" borderId="84" xfId="0" applyNumberFormat="1" applyFont="1" applyFill="1" applyBorder="1" applyAlignment="1">
      <alignment vertical="center" wrapText="1"/>
    </xf>
    <xf numFmtId="0" fontId="24" fillId="12" borderId="15" xfId="0" applyFont="1" applyFill="1" applyBorder="1" applyAlignment="1">
      <alignment vertical="center" wrapText="1"/>
    </xf>
    <xf numFmtId="44" fontId="24" fillId="12" borderId="15" xfId="0" applyNumberFormat="1" applyFont="1" applyFill="1" applyBorder="1" applyAlignment="1">
      <alignment vertical="center" wrapText="1"/>
    </xf>
    <xf numFmtId="165" fontId="29" fillId="12" borderId="0" xfId="0" applyNumberFormat="1" applyFont="1" applyFill="1" applyAlignment="1">
      <alignment vertical="center" wrapText="1"/>
    </xf>
    <xf numFmtId="0" fontId="25" fillId="2" borderId="92" xfId="0" applyFont="1" applyFill="1" applyBorder="1" applyAlignment="1">
      <alignment horizontal="left" vertical="center" wrapText="1" indent="1"/>
    </xf>
    <xf numFmtId="0" fontId="25" fillId="12" borderId="0" xfId="0" applyFont="1" applyFill="1" applyAlignment="1">
      <alignment vertical="center" wrapText="1"/>
    </xf>
    <xf numFmtId="0" fontId="24" fillId="13" borderId="57" xfId="0" applyFont="1" applyFill="1" applyBorder="1" applyAlignment="1">
      <alignment horizontal="left" vertical="center" wrapText="1" indent="1"/>
    </xf>
    <xf numFmtId="0" fontId="24" fillId="13" borderId="70" xfId="0" applyFont="1" applyFill="1" applyBorder="1" applyAlignment="1">
      <alignment horizontal="left" vertical="center" wrapText="1" indent="1"/>
    </xf>
    <xf numFmtId="165" fontId="29" fillId="12" borderId="8" xfId="0" applyNumberFormat="1" applyFont="1" applyFill="1" applyBorder="1" applyAlignment="1">
      <alignment vertical="center" wrapText="1"/>
    </xf>
    <xf numFmtId="0" fontId="0" fillId="11" borderId="10" xfId="0" applyFill="1" applyBorder="1"/>
    <xf numFmtId="0" fontId="32" fillId="6" borderId="7" xfId="0" applyFont="1" applyFill="1" applyBorder="1" applyAlignment="1">
      <alignment wrapText="1"/>
    </xf>
    <xf numFmtId="0" fontId="10" fillId="12" borderId="6" xfId="0" applyFont="1" applyFill="1" applyBorder="1" applyAlignment="1">
      <alignment horizontal="left" vertical="center" wrapText="1" indent="1"/>
    </xf>
    <xf numFmtId="0" fontId="13" fillId="12" borderId="6" xfId="0" applyFont="1" applyFill="1" applyBorder="1" applyAlignment="1">
      <alignment horizontal="left" vertical="center" wrapText="1" indent="1"/>
    </xf>
    <xf numFmtId="0" fontId="31" fillId="12" borderId="6" xfId="0" applyFont="1" applyFill="1" applyBorder="1" applyAlignment="1">
      <alignment horizontal="left" vertical="center" wrapText="1" indent="1"/>
    </xf>
    <xf numFmtId="0" fontId="9" fillId="8" borderId="11" xfId="0" applyFont="1" applyFill="1" applyBorder="1" applyAlignment="1">
      <alignment horizontal="centerContinuous"/>
    </xf>
    <xf numFmtId="0" fontId="7" fillId="0" borderId="0" xfId="0" applyFont="1" applyAlignment="1">
      <alignment horizontal="center" vertical="center"/>
    </xf>
    <xf numFmtId="0" fontId="21" fillId="8" borderId="17" xfId="0" applyFont="1" applyFill="1" applyBorder="1" applyAlignment="1">
      <alignment horizontal="centerContinuous" vertical="center"/>
    </xf>
    <xf numFmtId="0" fontId="22" fillId="8" borderId="0" xfId="0" applyFont="1" applyFill="1" applyAlignment="1">
      <alignment horizontal="centerContinuous" vertical="center"/>
    </xf>
    <xf numFmtId="0" fontId="17" fillId="8" borderId="7" xfId="0" applyFont="1" applyFill="1" applyBorder="1" applyAlignment="1">
      <alignment horizontal="centerContinuous" vertical="center"/>
    </xf>
    <xf numFmtId="0" fontId="10" fillId="12" borderId="56" xfId="0" applyFont="1" applyFill="1" applyBorder="1" applyAlignment="1">
      <alignment horizontal="left" vertical="center" wrapText="1" indent="1"/>
    </xf>
    <xf numFmtId="0" fontId="13" fillId="12" borderId="35" xfId="0" applyFont="1" applyFill="1" applyBorder="1" applyAlignment="1">
      <alignment horizontal="left" vertical="center" wrapText="1" indent="1"/>
    </xf>
    <xf numFmtId="0" fontId="10" fillId="12" borderId="35" xfId="0" applyFont="1" applyFill="1" applyBorder="1" applyAlignment="1">
      <alignment horizontal="left" vertical="center" wrapText="1" indent="1"/>
    </xf>
    <xf numFmtId="0" fontId="13" fillId="12" borderId="37" xfId="0" applyFont="1" applyFill="1" applyBorder="1" applyAlignment="1">
      <alignment horizontal="left" vertical="center" wrapText="1" indent="1"/>
    </xf>
    <xf numFmtId="0" fontId="41" fillId="0" borderId="60" xfId="0" applyFont="1" applyBorder="1" applyAlignment="1">
      <alignment horizontal="left" vertical="center" wrapText="1" indent="1"/>
    </xf>
    <xf numFmtId="0" fontId="41" fillId="0" borderId="59" xfId="0" applyFont="1" applyBorder="1" applyAlignment="1">
      <alignment horizontal="left" vertical="center" wrapText="1" indent="1"/>
    </xf>
    <xf numFmtId="0" fontId="10" fillId="12" borderId="17" xfId="0" applyFont="1" applyFill="1" applyBorder="1" applyAlignment="1">
      <alignment horizontal="left" vertical="center" wrapText="1" indent="1"/>
    </xf>
    <xf numFmtId="0" fontId="13" fillId="12" borderId="7" xfId="0" applyFont="1" applyFill="1" applyBorder="1" applyAlignment="1">
      <alignment horizontal="left" vertical="center" wrapText="1" indent="1"/>
    </xf>
    <xf numFmtId="0" fontId="41" fillId="0" borderId="56" xfId="0" applyFont="1" applyBorder="1" applyAlignment="1">
      <alignment horizontal="left" vertical="center" wrapText="1" indent="1"/>
    </xf>
    <xf numFmtId="0" fontId="41" fillId="0" borderId="35" xfId="0" applyFont="1" applyBorder="1" applyAlignment="1">
      <alignment horizontal="left" vertical="center" wrapText="1" indent="1"/>
    </xf>
    <xf numFmtId="0" fontId="7" fillId="12" borderId="7" xfId="0" applyFont="1" applyFill="1" applyBorder="1"/>
    <xf numFmtId="0" fontId="11" fillId="12" borderId="17" xfId="0" applyFont="1" applyFill="1" applyBorder="1" applyAlignment="1">
      <alignment horizontal="left" vertical="center" wrapText="1" indent="1"/>
    </xf>
    <xf numFmtId="0" fontId="24" fillId="0" borderId="68" xfId="0" applyFont="1" applyBorder="1" applyAlignment="1">
      <alignment horizontal="left" vertical="center" wrapText="1" indent="1"/>
    </xf>
    <xf numFmtId="0" fontId="41" fillId="0" borderId="57" xfId="0" applyFont="1" applyBorder="1" applyAlignment="1">
      <alignment horizontal="left" vertical="center" wrapText="1" indent="1"/>
    </xf>
    <xf numFmtId="0" fontId="11" fillId="12" borderId="23" xfId="0" applyFont="1" applyFill="1" applyBorder="1" applyAlignment="1">
      <alignment horizontal="left" vertical="center" wrapText="1" indent="1"/>
    </xf>
    <xf numFmtId="0" fontId="13" fillId="12" borderId="15" xfId="0" applyFont="1" applyFill="1" applyBorder="1" applyAlignment="1">
      <alignment horizontal="left" vertical="center" wrapText="1" indent="1"/>
    </xf>
    <xf numFmtId="0" fontId="10" fillId="12" borderId="15" xfId="0" applyFont="1" applyFill="1" applyBorder="1" applyAlignment="1">
      <alignment horizontal="left" vertical="center" wrapText="1" indent="1"/>
    </xf>
    <xf numFmtId="0" fontId="59" fillId="6" borderId="54" xfId="0" applyFont="1" applyFill="1" applyBorder="1" applyAlignment="1">
      <alignment horizontal="centerContinuous" vertical="center" wrapText="1"/>
    </xf>
    <xf numFmtId="0" fontId="25" fillId="6" borderId="71" xfId="0" applyFont="1" applyFill="1" applyBorder="1" applyAlignment="1">
      <alignment horizontal="centerContinuous" vertical="center" wrapText="1"/>
    </xf>
    <xf numFmtId="0" fontId="24" fillId="6" borderId="71" xfId="0" applyFont="1" applyFill="1" applyBorder="1" applyAlignment="1">
      <alignment horizontal="centerContinuous" vertical="center" wrapText="1"/>
    </xf>
    <xf numFmtId="0" fontId="25" fillId="6" borderId="55" xfId="0" applyFont="1" applyFill="1" applyBorder="1" applyAlignment="1">
      <alignment horizontal="centerContinuous" vertical="center" wrapText="1"/>
    </xf>
    <xf numFmtId="0" fontId="19" fillId="8" borderId="56" xfId="0" applyFont="1" applyFill="1" applyBorder="1" applyAlignment="1">
      <alignment horizontal="centerContinuous"/>
    </xf>
    <xf numFmtId="0" fontId="16" fillId="8" borderId="35" xfId="0" applyFont="1" applyFill="1" applyBorder="1" applyAlignment="1">
      <alignment horizontal="centerContinuous" vertical="center"/>
    </xf>
    <xf numFmtId="0" fontId="16" fillId="8" borderId="35" xfId="0" applyFont="1" applyFill="1" applyBorder="1" applyAlignment="1">
      <alignment horizontal="centerContinuous"/>
    </xf>
    <xf numFmtId="0" fontId="16" fillId="8" borderId="37" xfId="0" applyFont="1" applyFill="1" applyBorder="1" applyAlignment="1">
      <alignment horizontal="centerContinuous" vertical="center"/>
    </xf>
    <xf numFmtId="0" fontId="21" fillId="8" borderId="56" xfId="0" applyFont="1" applyFill="1" applyBorder="1" applyAlignment="1">
      <alignment horizontal="centerContinuous" vertical="center" wrapText="1"/>
    </xf>
    <xf numFmtId="0" fontId="17" fillId="8" borderId="35" xfId="0" applyFont="1" applyFill="1" applyBorder="1" applyAlignment="1">
      <alignment horizontal="centerContinuous" vertical="center"/>
    </xf>
    <xf numFmtId="0" fontId="17" fillId="8" borderId="37" xfId="0" applyFont="1" applyFill="1" applyBorder="1" applyAlignment="1">
      <alignment horizontal="centerContinuous" vertical="center"/>
    </xf>
    <xf numFmtId="0" fontId="11" fillId="12" borderId="56" xfId="0" applyFont="1" applyFill="1" applyBorder="1" applyAlignment="1">
      <alignment horizontal="left" vertical="center" wrapText="1" indent="1"/>
    </xf>
    <xf numFmtId="0" fontId="24" fillId="0" borderId="56" xfId="0" applyFont="1" applyBorder="1" applyAlignment="1">
      <alignment horizontal="left" vertical="center" wrapText="1" indent="1"/>
    </xf>
    <xf numFmtId="0" fontId="24" fillId="0" borderId="35" xfId="0" applyFont="1" applyBorder="1" applyAlignment="1">
      <alignment horizontal="left" vertical="center" wrapText="1" indent="1"/>
    </xf>
    <xf numFmtId="164" fontId="7" fillId="0" borderId="0" xfId="0" applyNumberFormat="1" applyFont="1"/>
    <xf numFmtId="0" fontId="19" fillId="8" borderId="17" xfId="0" applyFont="1" applyFill="1" applyBorder="1" applyAlignment="1">
      <alignment horizontal="centerContinuous"/>
    </xf>
    <xf numFmtId="0" fontId="16" fillId="8" borderId="0" xfId="0" applyFont="1" applyFill="1" applyAlignment="1">
      <alignment horizontal="centerContinuous" vertical="center"/>
    </xf>
    <xf numFmtId="0" fontId="16" fillId="8" borderId="0" xfId="0" applyFont="1" applyFill="1" applyAlignment="1">
      <alignment horizontal="centerContinuous"/>
    </xf>
    <xf numFmtId="0" fontId="16" fillId="8" borderId="7" xfId="0" applyFont="1" applyFill="1" applyBorder="1" applyAlignment="1">
      <alignment horizontal="centerContinuous" vertical="center"/>
    </xf>
    <xf numFmtId="0" fontId="21" fillId="8" borderId="68" xfId="0" applyFont="1" applyFill="1" applyBorder="1" applyAlignment="1">
      <alignment horizontal="centerContinuous" vertical="center" wrapText="1"/>
    </xf>
    <xf numFmtId="0" fontId="17" fillId="8" borderId="72" xfId="0" applyFont="1" applyFill="1" applyBorder="1" applyAlignment="1">
      <alignment horizontal="centerContinuous" vertical="center"/>
    </xf>
    <xf numFmtId="0" fontId="17" fillId="8" borderId="73" xfId="0" applyFont="1" applyFill="1" applyBorder="1" applyAlignment="1">
      <alignment horizontal="centerContinuous" vertical="center"/>
    </xf>
    <xf numFmtId="0" fontId="24" fillId="0" borderId="57" xfId="0" applyFont="1" applyBorder="1" applyAlignment="1">
      <alignment horizontal="left" vertical="center" wrapText="1" indent="1"/>
    </xf>
    <xf numFmtId="0" fontId="24" fillId="0" borderId="70" xfId="0" applyFont="1" applyBorder="1" applyAlignment="1">
      <alignment horizontal="left" vertical="center" wrapText="1" indent="1"/>
    </xf>
    <xf numFmtId="0" fontId="11" fillId="12" borderId="22" xfId="0" applyFont="1" applyFill="1" applyBorder="1" applyAlignment="1">
      <alignment horizontal="left" vertical="center" wrapText="1" indent="1"/>
    </xf>
    <xf numFmtId="0" fontId="58" fillId="0" borderId="0" xfId="0" applyFont="1"/>
    <xf numFmtId="0" fontId="37" fillId="8" borderId="0" xfId="0" applyFont="1" applyFill="1" applyAlignment="1">
      <alignment horizontal="centerContinuous" vertical="center"/>
    </xf>
    <xf numFmtId="0" fontId="37" fillId="8" borderId="7" xfId="0" applyFont="1" applyFill="1" applyBorder="1" applyAlignment="1">
      <alignment horizontal="centerContinuous" vertical="center"/>
    </xf>
    <xf numFmtId="0" fontId="22" fillId="8" borderId="72" xfId="0" applyFont="1" applyFill="1" applyBorder="1" applyAlignment="1">
      <alignment horizontal="centerContinuous" vertical="center"/>
    </xf>
    <xf numFmtId="0" fontId="22" fillId="8" borderId="73" xfId="0" applyFont="1" applyFill="1" applyBorder="1" applyAlignment="1">
      <alignment horizontal="centerContinuous" vertical="center"/>
    </xf>
    <xf numFmtId="0" fontId="11" fillId="12" borderId="77" xfId="0" applyFont="1" applyFill="1" applyBorder="1" applyAlignment="1">
      <alignment horizontal="left" vertical="center" wrapText="1" indent="1"/>
    </xf>
    <xf numFmtId="0" fontId="13" fillId="12" borderId="78" xfId="0" applyFont="1" applyFill="1" applyBorder="1" applyAlignment="1">
      <alignment horizontal="left" vertical="center" wrapText="1" indent="1"/>
    </xf>
    <xf numFmtId="0" fontId="10" fillId="12" borderId="78" xfId="0" applyFont="1" applyFill="1" applyBorder="1" applyAlignment="1">
      <alignment horizontal="left" vertical="center" wrapText="1" indent="1"/>
    </xf>
    <xf numFmtId="0" fontId="24" fillId="0" borderId="72" xfId="0" applyFont="1" applyBorder="1" applyAlignment="1">
      <alignment horizontal="left" vertical="center" wrapText="1" indent="1"/>
    </xf>
    <xf numFmtId="0" fontId="24" fillId="0" borderId="33" xfId="0" applyFont="1" applyBorder="1" applyAlignment="1">
      <alignment horizontal="left" vertical="center" wrapText="1" indent="1"/>
    </xf>
    <xf numFmtId="0" fontId="29" fillId="12" borderId="0" xfId="0" applyFont="1" applyFill="1" applyAlignment="1">
      <alignment horizontal="centerContinuous" vertical="center" wrapText="1"/>
    </xf>
    <xf numFmtId="0" fontId="10" fillId="12" borderId="7" xfId="0" applyFont="1" applyFill="1" applyBorder="1" applyAlignment="1">
      <alignment horizontal="centerContinuous" vertical="center" wrapText="1"/>
    </xf>
    <xf numFmtId="0" fontId="19" fillId="8" borderId="65" xfId="0" applyFont="1" applyFill="1" applyBorder="1" applyAlignment="1">
      <alignment horizontal="centerContinuous"/>
    </xf>
    <xf numFmtId="0" fontId="37" fillId="8" borderId="81" xfId="0" applyFont="1" applyFill="1" applyBorder="1" applyAlignment="1">
      <alignment horizontal="centerContinuous" vertical="center"/>
    </xf>
    <xf numFmtId="0" fontId="37" fillId="8" borderId="82" xfId="0" applyFont="1" applyFill="1" applyBorder="1" applyAlignment="1">
      <alignment horizontal="centerContinuous" vertical="center"/>
    </xf>
    <xf numFmtId="0" fontId="24" fillId="12" borderId="56" xfId="0" applyFont="1" applyFill="1" applyBorder="1" applyAlignment="1">
      <alignment horizontal="left" vertical="center" wrapText="1" indent="1"/>
    </xf>
    <xf numFmtId="0" fontId="24" fillId="12" borderId="35" xfId="0" applyFont="1" applyFill="1" applyBorder="1" applyAlignment="1">
      <alignment horizontal="right" vertical="center" wrapText="1" indent="1"/>
    </xf>
    <xf numFmtId="0" fontId="24" fillId="12" borderId="33" xfId="0" applyFont="1" applyFill="1" applyBorder="1" applyAlignment="1">
      <alignment horizontal="left" vertical="center" wrapText="1" indent="1"/>
    </xf>
    <xf numFmtId="0" fontId="24" fillId="12" borderId="80" xfId="0" applyFont="1" applyFill="1" applyBorder="1" applyAlignment="1">
      <alignment horizontal="right" vertical="center" wrapText="1" indent="1"/>
    </xf>
    <xf numFmtId="0" fontId="24" fillId="12" borderId="37" xfId="0" applyFont="1" applyFill="1" applyBorder="1" applyAlignment="1">
      <alignment horizontal="right" vertical="center" wrapText="1" indent="1"/>
    </xf>
    <xf numFmtId="0" fontId="24" fillId="0" borderId="85" xfId="0" applyFont="1" applyBorder="1" applyAlignment="1">
      <alignment horizontal="left" vertical="center" wrapText="1" indent="1"/>
    </xf>
    <xf numFmtId="0" fontId="24" fillId="0" borderId="86" xfId="0" applyFont="1" applyBorder="1" applyAlignment="1">
      <alignment horizontal="left" vertical="center" wrapText="1" indent="1"/>
    </xf>
    <xf numFmtId="0" fontId="24" fillId="12" borderId="17" xfId="0" applyFont="1" applyFill="1" applyBorder="1" applyAlignment="1">
      <alignment horizontal="left" vertical="center" wrapText="1" indent="1"/>
    </xf>
    <xf numFmtId="0" fontId="24" fillId="12" borderId="0" xfId="0" applyFont="1" applyFill="1" applyAlignment="1">
      <alignment horizontal="left" vertical="center" wrapText="1" indent="1"/>
    </xf>
    <xf numFmtId="0" fontId="24" fillId="0" borderId="26" xfId="0" applyFont="1" applyBorder="1" applyAlignment="1">
      <alignment horizontal="left" vertical="center" wrapText="1" indent="1"/>
    </xf>
    <xf numFmtId="0" fontId="24" fillId="0" borderId="87" xfId="0" applyFont="1" applyBorder="1" applyAlignment="1">
      <alignment horizontal="left" vertical="center" wrapText="1" indent="1"/>
    </xf>
    <xf numFmtId="0" fontId="16" fillId="8" borderId="81" xfId="0" applyFont="1" applyFill="1" applyBorder="1" applyAlignment="1">
      <alignment horizontal="centerContinuous" vertical="center"/>
    </xf>
    <xf numFmtId="0" fontId="16" fillId="8" borderId="81" xfId="0" applyFont="1" applyFill="1" applyBorder="1" applyAlignment="1">
      <alignment horizontal="centerContinuous"/>
    </xf>
    <xf numFmtId="0" fontId="16" fillId="8" borderId="82" xfId="0" applyFont="1" applyFill="1" applyBorder="1" applyAlignment="1">
      <alignment horizontal="centerContinuous" vertical="center"/>
    </xf>
    <xf numFmtId="0" fontId="21" fillId="8" borderId="68" xfId="0" applyFont="1" applyFill="1" applyBorder="1" applyAlignment="1">
      <alignment horizontal="centerContinuous" vertical="center"/>
    </xf>
    <xf numFmtId="0" fontId="2" fillId="0" borderId="0" xfId="0" applyFont="1"/>
    <xf numFmtId="0" fontId="24" fillId="0" borderId="83" xfId="0" applyFont="1" applyBorder="1" applyAlignment="1">
      <alignment horizontal="left" vertical="center" wrapText="1" indent="1"/>
    </xf>
    <xf numFmtId="0" fontId="29" fillId="12" borderId="8" xfId="0" applyFont="1" applyFill="1" applyBorder="1" applyAlignment="1">
      <alignment horizontal="centerContinuous" vertical="center" wrapText="1"/>
    </xf>
    <xf numFmtId="0" fontId="10" fillId="12" borderId="13" xfId="0" applyFont="1" applyFill="1" applyBorder="1" applyAlignment="1">
      <alignment horizontal="centerContinuous" vertical="center" wrapText="1"/>
    </xf>
    <xf numFmtId="0" fontId="24" fillId="12" borderId="56" xfId="0" applyFont="1" applyFill="1" applyBorder="1" applyAlignment="1">
      <alignment horizontal="centerContinuous" vertical="center" wrapText="1"/>
    </xf>
    <xf numFmtId="0" fontId="24" fillId="12" borderId="35" xfId="0" applyFont="1" applyFill="1" applyBorder="1" applyAlignment="1">
      <alignment horizontal="centerContinuous" vertical="center" wrapText="1"/>
    </xf>
    <xf numFmtId="0" fontId="24" fillId="0" borderId="62" xfId="0" applyFont="1" applyBorder="1" applyAlignment="1">
      <alignment horizontal="left" vertical="center" wrapText="1" indent="1"/>
    </xf>
    <xf numFmtId="0" fontId="24" fillId="12" borderId="35" xfId="0" applyFont="1" applyFill="1" applyBorder="1" applyAlignment="1">
      <alignment horizontal="left" vertical="center" wrapText="1" indent="1"/>
    </xf>
    <xf numFmtId="0" fontId="47" fillId="0" borderId="0" xfId="0" applyFont="1"/>
    <xf numFmtId="0" fontId="25" fillId="13" borderId="35" xfId="0" applyFont="1" applyFill="1" applyBorder="1" applyAlignment="1">
      <alignment horizontal="left" vertical="center" wrapText="1" indent="1"/>
    </xf>
    <xf numFmtId="0" fontId="25" fillId="13" borderId="8" xfId="0" applyFont="1" applyFill="1" applyBorder="1" applyAlignment="1">
      <alignment horizontal="left" vertical="center" wrapText="1" indent="1"/>
    </xf>
    <xf numFmtId="0" fontId="24" fillId="12" borderId="18" xfId="0" applyFont="1" applyFill="1" applyBorder="1" applyAlignment="1">
      <alignment horizontal="left" vertical="center" wrapText="1" indent="1"/>
    </xf>
    <xf numFmtId="0" fontId="24" fillId="12" borderId="14" xfId="0" applyFont="1" applyFill="1" applyBorder="1" applyAlignment="1">
      <alignment horizontal="left" vertical="center" wrapText="1" indent="1"/>
    </xf>
    <xf numFmtId="0" fontId="24" fillId="12" borderId="15" xfId="0" applyFont="1" applyFill="1" applyBorder="1" applyAlignment="1">
      <alignment horizontal="left" vertical="center" wrapText="1" indent="1"/>
    </xf>
    <xf numFmtId="0" fontId="25" fillId="13" borderId="12" xfId="0" applyFont="1" applyFill="1" applyBorder="1" applyAlignment="1">
      <alignment horizontal="left" vertical="center" wrapText="1" indent="1"/>
    </xf>
    <xf numFmtId="0" fontId="25" fillId="13" borderId="88" xfId="0" applyFont="1" applyFill="1" applyBorder="1" applyAlignment="1">
      <alignment horizontal="left" vertical="center" wrapText="1" indent="1"/>
    </xf>
    <xf numFmtId="1" fontId="29" fillId="13" borderId="75" xfId="0" applyNumberFormat="1" applyFont="1" applyFill="1" applyBorder="1" applyAlignment="1">
      <alignment horizontal="right" vertical="center" wrapText="1" indent="1"/>
    </xf>
    <xf numFmtId="0" fontId="38" fillId="15" borderId="8" xfId="0" applyFont="1" applyFill="1" applyBorder="1" applyAlignment="1">
      <alignment horizontal="left" vertical="center" wrapText="1" indent="1"/>
    </xf>
    <xf numFmtId="165" fontId="38" fillId="15" borderId="13" xfId="0" applyNumberFormat="1" applyFont="1" applyFill="1" applyBorder="1" applyAlignment="1">
      <alignment horizontal="left" vertical="center" wrapText="1" indent="1"/>
    </xf>
    <xf numFmtId="0" fontId="14" fillId="12" borderId="0" xfId="0" applyFont="1" applyFill="1" applyAlignment="1">
      <alignment horizontal="left" vertical="center" wrapText="1" indent="1"/>
    </xf>
    <xf numFmtId="0" fontId="15" fillId="12" borderId="0" xfId="0" applyFont="1" applyFill="1" applyAlignment="1">
      <alignment horizontal="left" vertical="center" wrapText="1" indent="1"/>
    </xf>
    <xf numFmtId="1" fontId="15" fillId="12" borderId="0" xfId="0" applyNumberFormat="1" applyFont="1" applyFill="1" applyAlignment="1">
      <alignment horizontal="left" vertical="center" wrapText="1" indent="1"/>
    </xf>
    <xf numFmtId="44" fontId="15" fillId="12" borderId="0" xfId="0" applyNumberFormat="1" applyFont="1" applyFill="1" applyAlignment="1">
      <alignment horizontal="left" vertical="center" wrapText="1" indent="1"/>
    </xf>
    <xf numFmtId="0" fontId="30" fillId="0" borderId="0" xfId="0" applyFont="1"/>
    <xf numFmtId="0" fontId="0" fillId="6" borderId="0" xfId="0" applyFill="1"/>
    <xf numFmtId="0" fontId="0" fillId="0" borderId="0" xfId="0" applyAlignment="1">
      <alignment vertical="top"/>
    </xf>
    <xf numFmtId="0" fontId="44" fillId="7" borderId="52" xfId="0" applyFont="1" applyFill="1" applyBorder="1" applyAlignment="1">
      <alignment horizontal="left" vertical="center" wrapText="1" indent="1"/>
    </xf>
    <xf numFmtId="0" fontId="29" fillId="13" borderId="46" xfId="0" applyFont="1" applyFill="1" applyBorder="1" applyAlignment="1">
      <alignment vertical="center" wrapText="1"/>
    </xf>
    <xf numFmtId="0" fontId="44" fillId="7" borderId="46" xfId="0" applyFont="1" applyFill="1" applyBorder="1" applyAlignment="1">
      <alignment horizontal="left" vertical="center" wrapText="1" indent="1"/>
    </xf>
    <xf numFmtId="0" fontId="21" fillId="8" borderId="48" xfId="0" quotePrefix="1" applyFont="1" applyFill="1" applyBorder="1" applyAlignment="1">
      <alignment horizontal="centerContinuous" vertical="center" wrapText="1"/>
    </xf>
    <xf numFmtId="0" fontId="20" fillId="8" borderId="49" xfId="0" quotePrefix="1" applyFont="1" applyFill="1" applyBorder="1" applyAlignment="1">
      <alignment horizontal="centerContinuous" vertical="center"/>
    </xf>
    <xf numFmtId="0" fontId="20" fillId="8" borderId="50" xfId="0" quotePrefix="1" applyFont="1" applyFill="1" applyBorder="1" applyAlignment="1">
      <alignment horizontal="centerContinuous" vertical="center"/>
    </xf>
    <xf numFmtId="0" fontId="35" fillId="14" borderId="26" xfId="0" applyFont="1" applyFill="1" applyBorder="1" applyAlignment="1">
      <alignment horizontal="centerContinuous" vertical="center" wrapText="1"/>
    </xf>
    <xf numFmtId="0" fontId="35" fillId="14" borderId="29" xfId="0" applyFont="1" applyFill="1" applyBorder="1" applyAlignment="1">
      <alignment horizontal="centerContinuous" vertical="center" wrapText="1"/>
    </xf>
    <xf numFmtId="0" fontId="35" fillId="14" borderId="31" xfId="0" applyFont="1" applyFill="1" applyBorder="1" applyAlignment="1">
      <alignment horizontal="centerContinuous" vertical="center" wrapText="1"/>
    </xf>
    <xf numFmtId="0" fontId="35" fillId="14" borderId="32" xfId="0" applyFont="1" applyFill="1" applyBorder="1" applyAlignment="1">
      <alignment horizontal="centerContinuous" vertical="center" wrapText="1"/>
    </xf>
    <xf numFmtId="0" fontId="35" fillId="14" borderId="34" xfId="0" applyFont="1" applyFill="1" applyBorder="1" applyAlignment="1">
      <alignment horizontal="centerContinuous" vertical="center"/>
    </xf>
    <xf numFmtId="0" fontId="10" fillId="12" borderId="10" xfId="0" applyFont="1" applyFill="1" applyBorder="1" applyAlignment="1">
      <alignment horizontal="left" vertical="center" wrapText="1" indent="1"/>
    </xf>
    <xf numFmtId="0" fontId="10" fillId="12" borderId="11" xfId="0" applyFont="1" applyFill="1" applyBorder="1" applyAlignment="1">
      <alignment horizontal="left" vertical="center" wrapText="1" indent="1"/>
    </xf>
    <xf numFmtId="0" fontId="35" fillId="14" borderId="26" xfId="0" applyFont="1" applyFill="1" applyBorder="1" applyAlignment="1">
      <alignment horizontal="left" vertical="center" wrapText="1"/>
    </xf>
    <xf numFmtId="0" fontId="35" fillId="14" borderId="29" xfId="0" applyFont="1" applyFill="1" applyBorder="1" applyAlignment="1">
      <alignment horizontal="center" vertical="center" wrapText="1"/>
    </xf>
    <xf numFmtId="0" fontId="35" fillId="14" borderId="94" xfId="0" applyFont="1" applyFill="1" applyBorder="1" applyAlignment="1">
      <alignment horizontal="left" vertical="center" wrapText="1"/>
    </xf>
    <xf numFmtId="0" fontId="35" fillId="14" borderId="95" xfId="0" applyFont="1" applyFill="1" applyBorder="1" applyAlignment="1">
      <alignment horizontal="center" vertical="center" wrapText="1"/>
    </xf>
    <xf numFmtId="0" fontId="10" fillId="12" borderId="7" xfId="0" applyFont="1" applyFill="1" applyBorder="1" applyAlignment="1">
      <alignment horizontal="left" vertical="center" wrapText="1" indent="1"/>
    </xf>
    <xf numFmtId="0" fontId="10" fillId="12" borderId="8" xfId="0" applyFont="1" applyFill="1" applyBorder="1" applyAlignment="1">
      <alignment horizontal="left" vertical="center" wrapText="1" indent="1"/>
    </xf>
    <xf numFmtId="0" fontId="10" fillId="12" borderId="13" xfId="0" applyFont="1" applyFill="1" applyBorder="1" applyAlignment="1">
      <alignment horizontal="left" vertical="center" wrapText="1" indent="1"/>
    </xf>
    <xf numFmtId="0" fontId="33" fillId="7" borderId="12" xfId="0" applyFont="1" applyFill="1" applyBorder="1" applyAlignment="1">
      <alignment horizontal="left" wrapText="1" indent="1"/>
    </xf>
    <xf numFmtId="0" fontId="33" fillId="7" borderId="13" xfId="0" applyFont="1" applyFill="1" applyBorder="1" applyAlignment="1">
      <alignment horizontal="left" wrapText="1" indent="1"/>
    </xf>
    <xf numFmtId="0" fontId="18" fillId="7" borderId="17" xfId="0" applyFont="1" applyFill="1" applyBorder="1" applyAlignment="1">
      <alignment horizontal="center" vertical="center"/>
    </xf>
    <xf numFmtId="0" fontId="18" fillId="7" borderId="7" xfId="0" applyFont="1" applyFill="1" applyBorder="1" applyAlignment="1">
      <alignment horizontal="center" vertical="center"/>
    </xf>
    <xf numFmtId="0" fontId="25" fillId="8" borderId="54" xfId="0" quotePrefix="1" applyFont="1" applyFill="1" applyBorder="1" applyAlignment="1">
      <alignment horizontal="center" vertical="center"/>
    </xf>
    <xf numFmtId="0" fontId="25" fillId="8" borderId="55" xfId="0" quotePrefix="1" applyFont="1" applyFill="1" applyBorder="1" applyAlignment="1">
      <alignment horizontal="center" vertical="center"/>
    </xf>
    <xf numFmtId="0" fontId="25" fillId="8" borderId="55" xfId="0" applyFont="1" applyFill="1" applyBorder="1" applyAlignment="1">
      <alignment horizontal="center" vertical="center"/>
    </xf>
    <xf numFmtId="0" fontId="59" fillId="6" borderId="9" xfId="0" applyFont="1" applyFill="1" applyBorder="1" applyAlignment="1">
      <alignment horizontal="center" wrapText="1"/>
    </xf>
    <xf numFmtId="0" fontId="59" fillId="6" borderId="10" xfId="0" applyFont="1" applyFill="1" applyBorder="1" applyAlignment="1">
      <alignment horizontal="center" wrapText="1"/>
    </xf>
    <xf numFmtId="0" fontId="59" fillId="6" borderId="11" xfId="0" applyFont="1" applyFill="1" applyBorder="1" applyAlignment="1">
      <alignment horizontal="center" wrapText="1"/>
    </xf>
    <xf numFmtId="0" fontId="21" fillId="6" borderId="68" xfId="0" applyFont="1" applyFill="1" applyBorder="1" applyAlignment="1">
      <alignment horizontal="center" vertical="top"/>
    </xf>
    <xf numFmtId="0" fontId="21" fillId="6" borderId="72" xfId="0" applyFont="1" applyFill="1" applyBorder="1" applyAlignment="1">
      <alignment horizontal="center" vertical="top"/>
    </xf>
    <xf numFmtId="0" fontId="21" fillId="6" borderId="73" xfId="0" applyFont="1" applyFill="1" applyBorder="1" applyAlignment="1">
      <alignment horizontal="center" vertical="top"/>
    </xf>
    <xf numFmtId="0" fontId="18" fillId="7" borderId="12" xfId="0" applyFont="1" applyFill="1" applyBorder="1" applyAlignment="1">
      <alignment horizontal="center" vertical="center" wrapText="1"/>
    </xf>
    <xf numFmtId="0" fontId="18" fillId="7" borderId="8" xfId="0" applyFont="1" applyFill="1" applyBorder="1" applyAlignment="1">
      <alignment horizontal="center" vertical="center"/>
    </xf>
    <xf numFmtId="0" fontId="18" fillId="7" borderId="13" xfId="0" applyFont="1" applyFill="1" applyBorder="1" applyAlignment="1">
      <alignment horizontal="center" vertical="center"/>
    </xf>
    <xf numFmtId="0" fontId="14" fillId="13" borderId="56" xfId="0" applyFont="1" applyFill="1" applyBorder="1" applyAlignment="1">
      <alignment horizontal="center" vertical="center" wrapText="1"/>
    </xf>
    <xf numFmtId="0" fontId="14" fillId="13" borderId="35" xfId="0" applyFont="1" applyFill="1" applyBorder="1" applyAlignment="1">
      <alignment horizontal="center" vertical="center" wrapText="1"/>
    </xf>
    <xf numFmtId="0" fontId="14" fillId="13" borderId="80" xfId="0" applyFont="1" applyFill="1" applyBorder="1" applyAlignment="1">
      <alignment horizontal="center" vertical="center" wrapText="1"/>
    </xf>
    <xf numFmtId="0" fontId="13" fillId="5" borderId="70" xfId="0" applyFont="1" applyFill="1" applyBorder="1" applyAlignment="1" applyProtection="1">
      <alignment horizontal="left" vertical="center" wrapText="1"/>
      <protection locked="0"/>
    </xf>
    <xf numFmtId="0" fontId="13" fillId="5" borderId="58" xfId="0" applyFont="1" applyFill="1" applyBorder="1" applyAlignment="1" applyProtection="1">
      <alignment horizontal="left" vertical="center" wrapText="1"/>
      <protection locked="0"/>
    </xf>
    <xf numFmtId="0" fontId="41" fillId="0" borderId="65" xfId="0" applyFont="1" applyBorder="1" applyAlignment="1">
      <alignment horizontal="left" vertical="center" wrapText="1" indent="1"/>
    </xf>
    <xf numFmtId="0" fontId="24" fillId="0" borderId="17" xfId="0" applyFont="1" applyBorder="1" applyAlignment="1">
      <alignment horizontal="left" vertical="center" wrapText="1" indent="1"/>
    </xf>
    <xf numFmtId="0" fontId="24" fillId="0" borderId="68" xfId="0" applyFont="1" applyBorder="1" applyAlignment="1">
      <alignment horizontal="left" vertical="center" wrapText="1" indent="1"/>
    </xf>
    <xf numFmtId="0" fontId="13" fillId="5" borderId="66" xfId="0" applyFont="1" applyFill="1" applyBorder="1" applyAlignment="1" applyProtection="1">
      <alignment horizontal="left" vertical="center" wrapText="1" indent="1"/>
      <protection locked="0"/>
    </xf>
    <xf numFmtId="0" fontId="13" fillId="5" borderId="67" xfId="0" applyFont="1" applyFill="1" applyBorder="1" applyAlignment="1" applyProtection="1">
      <alignment horizontal="left" vertical="center" wrapText="1" indent="1"/>
      <protection locked="0"/>
    </xf>
    <xf numFmtId="0" fontId="13" fillId="5" borderId="69" xfId="0" applyFont="1" applyFill="1" applyBorder="1" applyAlignment="1" applyProtection="1">
      <alignment horizontal="left" vertical="center" wrapText="1" indent="1"/>
      <protection locked="0"/>
    </xf>
    <xf numFmtId="0" fontId="14" fillId="13" borderId="57" xfId="0" applyFont="1" applyFill="1" applyBorder="1" applyAlignment="1">
      <alignment horizontal="center" vertical="center" wrapText="1"/>
    </xf>
    <xf numFmtId="0" fontId="14" fillId="13" borderId="70" xfId="0" applyFont="1" applyFill="1" applyBorder="1" applyAlignment="1">
      <alignment horizontal="center" vertical="center" wrapText="1"/>
    </xf>
    <xf numFmtId="0" fontId="14" fillId="13" borderId="84" xfId="0" applyFont="1" applyFill="1" applyBorder="1" applyAlignment="1">
      <alignment horizontal="center" vertical="center" wrapText="1"/>
    </xf>
    <xf numFmtId="0" fontId="13" fillId="0" borderId="26" xfId="0" applyFont="1" applyBorder="1" applyAlignment="1" applyProtection="1">
      <alignment horizontal="left" vertical="center" wrapText="1"/>
      <protection locked="0"/>
    </xf>
    <xf numFmtId="0" fontId="13" fillId="0" borderId="29" xfId="0" applyFont="1" applyBorder="1" applyAlignment="1" applyProtection="1">
      <alignment horizontal="left" vertical="center" wrapText="1"/>
      <protection locked="0"/>
    </xf>
    <xf numFmtId="0" fontId="18" fillId="7" borderId="0" xfId="0" applyFont="1" applyFill="1" applyAlignment="1">
      <alignment horizontal="center" vertical="center"/>
    </xf>
    <xf numFmtId="0" fontId="60" fillId="7" borderId="12" xfId="0" applyFont="1" applyFill="1" applyBorder="1" applyAlignment="1">
      <alignment horizontal="center" vertical="top" wrapText="1"/>
    </xf>
    <xf numFmtId="0" fontId="60" fillId="7" borderId="8" xfId="0" applyFont="1" applyFill="1" applyBorder="1" applyAlignment="1">
      <alignment horizontal="center" vertical="top" wrapText="1"/>
    </xf>
    <xf numFmtId="0" fontId="60" fillId="7" borderId="13" xfId="0" applyFont="1" applyFill="1" applyBorder="1" applyAlignment="1">
      <alignment horizontal="center" vertical="top" wrapText="1"/>
    </xf>
    <xf numFmtId="0" fontId="20" fillId="8" borderId="9" xfId="0" quotePrefix="1" applyFont="1" applyFill="1" applyBorder="1" applyAlignment="1">
      <alignment horizontal="center" vertical="center"/>
    </xf>
    <xf numFmtId="0" fontId="20" fillId="8" borderId="10" xfId="0" quotePrefix="1" applyFont="1" applyFill="1" applyBorder="1" applyAlignment="1">
      <alignment horizontal="center" vertical="center"/>
    </xf>
    <xf numFmtId="0" fontId="20" fillId="8" borderId="11" xfId="0" quotePrefix="1" applyFont="1" applyFill="1" applyBorder="1" applyAlignment="1">
      <alignment horizontal="center" vertical="center"/>
    </xf>
    <xf numFmtId="44" fontId="13" fillId="0" borderId="35" xfId="0" applyNumberFormat="1" applyFont="1" applyBorder="1" applyAlignment="1" applyProtection="1">
      <alignment horizontal="center" vertical="center"/>
      <protection locked="0"/>
    </xf>
    <xf numFmtId="0" fontId="13" fillId="0" borderId="35" xfId="0" applyFont="1" applyBorder="1" applyAlignment="1" applyProtection="1">
      <alignment vertical="center"/>
      <protection locked="0"/>
    </xf>
    <xf numFmtId="166" fontId="29" fillId="13" borderId="33" xfId="0" applyNumberFormat="1" applyFont="1" applyFill="1" applyBorder="1" applyAlignment="1">
      <alignment horizontal="center" vertical="center"/>
    </xf>
    <xf numFmtId="0" fontId="29" fillId="13" borderId="37" xfId="0" applyFont="1" applyFill="1" applyBorder="1" applyAlignment="1">
      <alignment vertical="center"/>
    </xf>
    <xf numFmtId="0" fontId="29" fillId="13" borderId="46" xfId="0" applyFont="1" applyFill="1" applyBorder="1" applyAlignment="1">
      <alignment horizontal="left" vertical="center" wrapText="1"/>
    </xf>
    <xf numFmtId="0" fontId="29" fillId="13" borderId="43" xfId="0" applyFont="1" applyFill="1" applyBorder="1" applyAlignment="1">
      <alignment horizontal="left" vertical="center" wrapText="1"/>
    </xf>
    <xf numFmtId="0" fontId="29" fillId="13" borderId="42" xfId="0" applyFont="1" applyFill="1" applyBorder="1" applyAlignment="1">
      <alignment horizontal="left" vertical="center" wrapText="1"/>
    </xf>
    <xf numFmtId="0" fontId="49" fillId="0" borderId="26" xfId="0" applyFont="1" applyBorder="1" applyAlignment="1">
      <alignment horizontal="left" vertical="center" wrapText="1"/>
    </xf>
    <xf numFmtId="0" fontId="49" fillId="0" borderId="29" xfId="0" applyFont="1" applyBorder="1" applyAlignment="1">
      <alignment horizontal="left" vertical="center" wrapText="1"/>
    </xf>
    <xf numFmtId="0" fontId="35" fillId="0" borderId="53" xfId="0" applyFont="1" applyBorder="1" applyAlignment="1">
      <alignment horizontal="right" vertical="center" wrapText="1"/>
    </xf>
    <xf numFmtId="0" fontId="35" fillId="0" borderId="39" xfId="0" applyFont="1" applyBorder="1" applyAlignment="1">
      <alignment horizontal="right" vertical="center" wrapText="1"/>
    </xf>
    <xf numFmtId="165" fontId="49" fillId="13" borderId="35" xfId="0" applyNumberFormat="1" applyFont="1" applyFill="1" applyBorder="1" applyAlignment="1">
      <alignment horizontal="center" vertical="center"/>
    </xf>
    <xf numFmtId="165" fontId="49" fillId="13" borderId="35" xfId="0" applyNumberFormat="1" applyFont="1" applyFill="1" applyBorder="1" applyAlignment="1">
      <alignment vertical="center"/>
    </xf>
    <xf numFmtId="165" fontId="50" fillId="13" borderId="41" xfId="3" applyNumberFormat="1" applyFont="1" applyFill="1" applyBorder="1" applyAlignment="1" applyProtection="1">
      <alignment horizontal="center" vertical="center"/>
    </xf>
    <xf numFmtId="165" fontId="50" fillId="13" borderId="39" xfId="3" applyNumberFormat="1" applyFont="1" applyFill="1" applyBorder="1" applyAlignment="1" applyProtection="1">
      <alignment vertical="center"/>
    </xf>
    <xf numFmtId="166" fontId="50" fillId="13" borderId="41" xfId="0" applyNumberFormat="1" applyFont="1" applyFill="1" applyBorder="1" applyAlignment="1">
      <alignment horizontal="center" vertical="center"/>
    </xf>
    <xf numFmtId="0" fontId="50" fillId="13" borderId="40" xfId="0" applyFont="1" applyFill="1" applyBorder="1" applyAlignment="1">
      <alignment vertical="center"/>
    </xf>
    <xf numFmtId="0" fontId="13" fillId="0" borderId="30" xfId="0" applyFont="1" applyBorder="1" applyAlignment="1" applyProtection="1">
      <alignment horizontal="left" vertical="center" wrapText="1"/>
      <protection locked="0"/>
    </xf>
    <xf numFmtId="44" fontId="13" fillId="0" borderId="33" xfId="0" applyNumberFormat="1" applyFont="1" applyBorder="1" applyAlignment="1" applyProtection="1">
      <alignment horizontal="center" vertical="center"/>
      <protection locked="0"/>
    </xf>
    <xf numFmtId="44" fontId="13" fillId="0" borderId="37" xfId="0" applyNumberFormat="1" applyFont="1" applyBorder="1" applyAlignment="1" applyProtection="1">
      <alignment horizontal="center" vertical="center"/>
      <protection locked="0"/>
    </xf>
    <xf numFmtId="0" fontId="20" fillId="8" borderId="24" xfId="0" quotePrefix="1" applyFont="1" applyFill="1" applyBorder="1" applyAlignment="1">
      <alignment horizontal="center" vertical="center"/>
    </xf>
    <xf numFmtId="0" fontId="20" fillId="8" borderId="28" xfId="0" quotePrefix="1" applyFont="1" applyFill="1" applyBorder="1" applyAlignment="1">
      <alignment horizontal="center" vertical="center"/>
    </xf>
    <xf numFmtId="0" fontId="20" fillId="8" borderId="25" xfId="0" quotePrefix="1" applyFont="1" applyFill="1" applyBorder="1" applyAlignment="1">
      <alignment horizontal="center" vertical="center"/>
    </xf>
    <xf numFmtId="0" fontId="13" fillId="0" borderId="37" xfId="0" applyFont="1" applyBorder="1" applyAlignment="1" applyProtection="1">
      <alignment vertical="center"/>
      <protection locked="0"/>
    </xf>
    <xf numFmtId="0" fontId="24" fillId="13" borderId="99" xfId="0" applyFont="1" applyFill="1" applyBorder="1" applyAlignment="1">
      <alignment horizontal="left" vertical="center" wrapText="1"/>
    </xf>
    <xf numFmtId="0" fontId="24" fillId="13" borderId="45" xfId="0" applyFont="1" applyFill="1" applyBorder="1" applyAlignment="1">
      <alignment horizontal="left" vertical="center" wrapText="1"/>
    </xf>
    <xf numFmtId="0" fontId="13" fillId="0" borderId="36" xfId="0" applyFont="1" applyBorder="1" applyAlignment="1" applyProtection="1">
      <alignment horizontal="left" vertical="center" wrapText="1"/>
      <protection locked="0"/>
    </xf>
    <xf numFmtId="0" fontId="13" fillId="0" borderId="97" xfId="0" applyFont="1" applyBorder="1" applyAlignment="1" applyProtection="1">
      <alignment horizontal="left" vertical="center" wrapText="1"/>
      <protection locked="0"/>
    </xf>
    <xf numFmtId="0" fontId="24" fillId="13" borderId="26" xfId="0" applyFont="1" applyFill="1" applyBorder="1" applyAlignment="1">
      <alignment horizontal="left" vertical="center" wrapText="1"/>
    </xf>
    <xf numFmtId="0" fontId="24" fillId="13" borderId="29" xfId="0" applyFont="1" applyFill="1" applyBorder="1" applyAlignment="1">
      <alignment horizontal="left" vertical="center" wrapText="1"/>
    </xf>
    <xf numFmtId="0" fontId="13" fillId="0" borderId="96" xfId="0" applyFont="1" applyBorder="1" applyAlignment="1" applyProtection="1">
      <alignment horizontal="left" vertical="center" wrapText="1"/>
      <protection locked="0"/>
    </xf>
    <xf numFmtId="44" fontId="51" fillId="13" borderId="38" xfId="0" applyNumberFormat="1" applyFont="1" applyFill="1" applyBorder="1" applyAlignment="1">
      <alignment horizontal="center" vertical="center"/>
    </xf>
    <xf numFmtId="44" fontId="51" fillId="13" borderId="40" xfId="0" applyNumberFormat="1" applyFont="1" applyFill="1" applyBorder="1" applyAlignment="1">
      <alignment horizontal="center" vertical="center"/>
    </xf>
    <xf numFmtId="0" fontId="20" fillId="8" borderId="98" xfId="0" quotePrefix="1" applyFont="1" applyFill="1" applyBorder="1" applyAlignment="1">
      <alignment horizontal="center" vertical="center"/>
    </xf>
    <xf numFmtId="0" fontId="35" fillId="0" borderId="38" xfId="0" applyFont="1" applyBorder="1" applyAlignment="1">
      <alignment horizontal="right" vertical="center" wrapText="1"/>
    </xf>
    <xf numFmtId="0" fontId="35" fillId="0" borderId="41" xfId="0" applyFont="1" applyBorder="1" applyAlignment="1">
      <alignment horizontal="right" vertical="center" wrapText="1"/>
    </xf>
    <xf numFmtId="0" fontId="24" fillId="13" borderId="35" xfId="0" applyFont="1" applyFill="1" applyBorder="1" applyAlignment="1">
      <alignment horizontal="left" vertical="center" wrapText="1" indent="1"/>
    </xf>
    <xf numFmtId="0" fontId="24" fillId="13" borderId="37" xfId="0" applyFont="1" applyFill="1" applyBorder="1" applyAlignment="1">
      <alignment horizontal="left" vertical="center" wrapText="1" indent="1"/>
    </xf>
    <xf numFmtId="0" fontId="10" fillId="13" borderId="35" xfId="0" applyFont="1" applyFill="1" applyBorder="1" applyAlignment="1">
      <alignment horizontal="center" vertical="center" wrapText="1"/>
    </xf>
    <xf numFmtId="0" fontId="10" fillId="13" borderId="37" xfId="0" applyFont="1" applyFill="1" applyBorder="1" applyAlignment="1">
      <alignment horizontal="center" vertical="center" wrapText="1"/>
    </xf>
    <xf numFmtId="0" fontId="10" fillId="13" borderId="35" xfId="0" applyFont="1" applyFill="1" applyBorder="1" applyAlignment="1">
      <alignment horizontal="left" vertical="center" wrapText="1" indent="1"/>
    </xf>
    <xf numFmtId="0" fontId="10" fillId="13" borderId="37" xfId="0" applyFont="1" applyFill="1" applyBorder="1" applyAlignment="1">
      <alignment horizontal="left" vertical="center" wrapText="1" indent="1"/>
    </xf>
    <xf numFmtId="0" fontId="24" fillId="13" borderId="89" xfId="0" applyFont="1" applyFill="1" applyBorder="1" applyAlignment="1">
      <alignment horizontal="left" vertical="center" wrapText="1"/>
    </xf>
    <xf numFmtId="0" fontId="24" fillId="13" borderId="90" xfId="0" applyFont="1" applyFill="1" applyBorder="1" applyAlignment="1">
      <alignment horizontal="left" vertical="center" wrapText="1"/>
    </xf>
    <xf numFmtId="0" fontId="24" fillId="13" borderId="91" xfId="0" applyFont="1" applyFill="1" applyBorder="1" applyAlignment="1">
      <alignment horizontal="left" vertical="center" wrapText="1"/>
    </xf>
    <xf numFmtId="0" fontId="21" fillId="7" borderId="12" xfId="0" applyFont="1" applyFill="1" applyBorder="1" applyAlignment="1">
      <alignment horizontal="center" vertical="top"/>
    </xf>
    <xf numFmtId="0" fontId="21" fillId="7" borderId="8" xfId="0" applyFont="1" applyFill="1" applyBorder="1" applyAlignment="1">
      <alignment horizontal="center" vertical="top"/>
    </xf>
    <xf numFmtId="0" fontId="21" fillId="7" borderId="13" xfId="0" applyFont="1" applyFill="1" applyBorder="1" applyAlignment="1">
      <alignment horizontal="center" vertical="top"/>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1" xfId="0" applyFont="1" applyFill="1" applyBorder="1" applyAlignment="1">
      <alignment horizontal="center" vertical="center" wrapText="1"/>
    </xf>
    <xf numFmtId="0" fontId="25" fillId="7" borderId="19" xfId="0" applyFont="1" applyFill="1" applyBorder="1" applyAlignment="1">
      <alignment horizontal="center"/>
    </xf>
    <xf numFmtId="0" fontId="25" fillId="7" borderId="20" xfId="0" applyFont="1" applyFill="1" applyBorder="1" applyAlignment="1">
      <alignment horizontal="center"/>
    </xf>
    <xf numFmtId="0" fontId="25" fillId="7" borderId="21" xfId="0" applyFont="1" applyFill="1" applyBorder="1" applyAlignment="1">
      <alignment horizont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25" fillId="7" borderId="0" xfId="0" applyFont="1" applyFill="1" applyAlignment="1">
      <alignment horizontal="center"/>
    </xf>
    <xf numFmtId="0" fontId="25" fillId="7" borderId="7" xfId="0" applyFont="1" applyFill="1" applyBorder="1" applyAlignment="1">
      <alignment horizontal="center"/>
    </xf>
    <xf numFmtId="0" fontId="10" fillId="8" borderId="0" xfId="0" applyFont="1" applyFill="1" applyAlignment="1">
      <alignment horizontal="center" wrapText="1"/>
    </xf>
    <xf numFmtId="0" fontId="10" fillId="8" borderId="47" xfId="0" applyFont="1" applyFill="1" applyBorder="1" applyAlignment="1">
      <alignment horizontal="center" wrapText="1"/>
    </xf>
    <xf numFmtId="0" fontId="25" fillId="7" borderId="17" xfId="0" applyFont="1" applyFill="1" applyBorder="1" applyAlignment="1">
      <alignment horizontal="center"/>
    </xf>
    <xf numFmtId="0" fontId="39" fillId="0" borderId="51" xfId="0" applyFont="1" applyBorder="1" applyAlignment="1">
      <alignment horizontal="left"/>
    </xf>
    <xf numFmtId="0" fontId="39" fillId="0" borderId="0" xfId="0" applyFont="1" applyAlignment="1">
      <alignment horizontal="left"/>
    </xf>
  </cellXfs>
  <cellStyles count="6">
    <cellStyle name="Comma" xfId="2" builtinId="3"/>
    <cellStyle name="Currency" xfId="3" builtinId="4"/>
    <cellStyle name="Hyperlink" xfId="1" builtinId="8"/>
    <cellStyle name="Hyperlink 2" xfId="5" xr:uid="{58655CB2-9257-48E6-824E-667EFF01EB75}"/>
    <cellStyle name="Normal" xfId="0" builtinId="0"/>
    <cellStyle name="Normal 2" xfId="4" xr:uid="{07133A47-69CB-4E5E-AA9D-7FB503590D5B}"/>
  </cellStyles>
  <dxfs count="169">
    <dxf>
      <font>
        <color theme="8" tint="-0.24994659260841701"/>
      </font>
      <fill>
        <patternFill>
          <bgColor theme="6" tint="0.79998168889431442"/>
        </patternFill>
      </fill>
    </dxf>
    <dxf>
      <font>
        <color rgb="FFC00000"/>
      </font>
      <fill>
        <patternFill>
          <bgColor theme="5" tint="0.79998168889431442"/>
        </patternFill>
      </fill>
    </dxf>
    <dxf>
      <font>
        <color theme="8" tint="-0.24994659260841701"/>
      </font>
      <fill>
        <patternFill>
          <bgColor theme="6" tint="0.79998168889431442"/>
        </patternFill>
      </fill>
    </dxf>
    <dxf>
      <font>
        <color rgb="FFC00000"/>
      </font>
      <fill>
        <patternFill>
          <bgColor theme="5" tint="0.79998168889431442"/>
        </patternFill>
      </fill>
    </dxf>
    <dxf>
      <font>
        <color rgb="FFF0F9FA"/>
      </font>
      <fill>
        <patternFill>
          <bgColor rgb="FFF0F9FA"/>
        </patternFill>
      </fill>
      <border>
        <bottom/>
        <vertical/>
        <horizontal/>
      </border>
    </dxf>
    <dxf>
      <font>
        <color rgb="FF2F9299"/>
      </font>
    </dxf>
    <dxf>
      <font>
        <color rgb="FFBE5201"/>
      </font>
      <fill>
        <patternFill>
          <bgColor rgb="FFFEF2CD"/>
        </patternFill>
      </fill>
    </dxf>
    <dxf>
      <font>
        <color rgb="FFF0F9FA"/>
      </font>
      <fill>
        <patternFill>
          <bgColor rgb="FFF0F9FA"/>
        </patternFill>
      </fill>
      <border>
        <bottom/>
        <vertical/>
        <horizontal/>
      </border>
    </dxf>
    <dxf>
      <font>
        <color rgb="FFF0F9FA"/>
      </font>
      <fill>
        <patternFill>
          <bgColor rgb="FFF0F9FA"/>
        </patternFill>
      </fill>
      <border>
        <top/>
        <bottom/>
      </border>
    </dxf>
    <dxf>
      <fill>
        <patternFill>
          <bgColor rgb="FFF0F9FA"/>
        </patternFill>
      </fill>
      <border>
        <top/>
        <bottom/>
        <vertical/>
        <horizontal/>
      </border>
    </dxf>
    <dxf>
      <fill>
        <patternFill>
          <bgColor rgb="FFF0F9FA"/>
        </patternFill>
      </fill>
      <border>
        <top/>
        <bottom/>
        <vertical/>
        <horizontal/>
      </border>
    </dxf>
    <dxf>
      <font>
        <color theme="9" tint="-0.24994659260841701"/>
      </font>
    </dxf>
    <dxf>
      <font>
        <color theme="8" tint="-0.24994659260841701"/>
      </font>
      <fill>
        <patternFill>
          <bgColor theme="6" tint="0.79998168889431442"/>
        </patternFill>
      </fill>
    </dxf>
    <dxf>
      <font>
        <b val="0"/>
        <i val="0"/>
        <color theme="8" tint="-0.24994659260841701"/>
      </font>
      <fill>
        <patternFill>
          <bgColor theme="6" tint="0.79998168889431442"/>
        </patternFill>
      </fill>
    </dxf>
    <dxf>
      <font>
        <b val="0"/>
        <i val="0"/>
        <color theme="9" tint="-0.24994659260841701"/>
      </font>
    </dxf>
    <dxf>
      <font>
        <color theme="9" tint="-0.24994659260841701"/>
      </font>
    </dxf>
    <dxf>
      <font>
        <color theme="8" tint="-0.24994659260841701"/>
      </font>
      <fill>
        <patternFill>
          <bgColor theme="6" tint="0.79998168889431442"/>
        </patternFill>
      </fill>
    </dxf>
    <dxf>
      <border>
        <left style="thin">
          <color theme="0" tint="-0.14996795556505021"/>
        </left>
        <top style="thin">
          <color theme="0" tint="-0.14996795556505021"/>
        </top>
        <bottom style="thin">
          <color theme="0" tint="-0.14996795556505021"/>
        </bottom>
        <vertical/>
        <horizontal/>
      </border>
    </dxf>
    <dxf>
      <font>
        <color theme="9" tint="-0.24994659260841701"/>
      </font>
    </dxf>
    <dxf>
      <font>
        <color theme="8" tint="-0.24994659260841701"/>
      </font>
      <fill>
        <patternFill>
          <bgColor theme="6" tint="0.79998168889431442"/>
        </patternFill>
      </fill>
    </dxf>
    <dxf>
      <border>
        <left style="thin">
          <color theme="0" tint="-0.14996795556505021"/>
        </left>
        <right style="thin">
          <color theme="0" tint="-0.34998626667073579"/>
        </right>
        <top style="thin">
          <color theme="0" tint="-0.14996795556505021"/>
        </top>
        <bottom style="thin">
          <color theme="0" tint="-0.14996795556505021"/>
        </bottom>
        <vertical/>
        <horizontal/>
      </border>
    </dxf>
    <dxf>
      <font>
        <color theme="8" tint="-0.24994659260841701"/>
      </font>
      <fill>
        <patternFill>
          <bgColor theme="6" tint="0.79998168889431442"/>
        </patternFill>
      </fill>
    </dxf>
    <dxf>
      <font>
        <color theme="9" tint="-0.24994659260841701"/>
      </font>
      <fill>
        <patternFill>
          <bgColor rgb="FFF2F2F2"/>
        </patternFill>
      </fill>
    </dxf>
    <dxf>
      <border>
        <right style="thin">
          <color theme="0" tint="-0.34998626667073579"/>
        </right>
        <top style="thin">
          <color theme="0" tint="-0.14996795556505021"/>
        </top>
        <bottom style="thin">
          <color theme="0" tint="-0.14996795556505021"/>
        </bottom>
        <vertical/>
        <horizontal/>
      </border>
    </dxf>
    <dxf>
      <font>
        <color theme="8" tint="-0.24994659260841701"/>
      </font>
      <fill>
        <patternFill>
          <bgColor theme="6" tint="0.79998168889431442"/>
        </patternFill>
      </fill>
    </dxf>
    <dxf>
      <font>
        <color rgb="FFC00000"/>
      </font>
      <fill>
        <patternFill>
          <bgColor theme="5" tint="0.79998168889431442"/>
        </patternFill>
      </fill>
    </dxf>
    <dxf>
      <font>
        <color rgb="FFF0F9FA"/>
      </font>
      <border>
        <bottom/>
        <vertical/>
        <horizontal/>
      </border>
    </dxf>
    <dxf>
      <font>
        <color rgb="FFF0F9FA"/>
      </font>
      <border>
        <bottom/>
        <vertical/>
        <horizontal/>
      </border>
    </dxf>
    <dxf>
      <font>
        <color rgb="FFF0F9FA"/>
      </font>
      <fill>
        <patternFill>
          <bgColor rgb="FFF0F9FA"/>
        </patternFill>
      </fill>
      <border>
        <left/>
        <right/>
        <bottom/>
        <vertical/>
        <horizontal/>
      </border>
    </dxf>
    <dxf>
      <font>
        <color rgb="FFF0F9FA"/>
      </font>
      <fill>
        <patternFill>
          <bgColor rgb="FFF0F9FA"/>
        </patternFill>
      </fill>
      <border>
        <left/>
        <right/>
        <top/>
        <bottom/>
      </border>
    </dxf>
    <dxf>
      <font>
        <color theme="8" tint="-0.24994659260841701"/>
      </font>
      <fill>
        <patternFill>
          <bgColor theme="6" tint="0.79998168889431442"/>
        </patternFill>
      </fill>
    </dxf>
    <dxf>
      <font>
        <color rgb="FFC00000"/>
      </font>
      <fill>
        <patternFill>
          <bgColor theme="5" tint="0.79998168889431442"/>
        </patternFill>
      </fill>
    </dxf>
    <dxf>
      <font>
        <color theme="8" tint="-0.24994659260841701"/>
      </font>
      <fill>
        <patternFill>
          <bgColor theme="6" tint="0.79998168889431442"/>
        </patternFill>
      </fill>
    </dxf>
    <dxf>
      <font>
        <color rgb="FFC00000"/>
      </font>
      <fill>
        <patternFill>
          <bgColor theme="5" tint="0.79998168889431442"/>
        </patternFill>
      </fill>
    </dxf>
    <dxf>
      <fill>
        <patternFill>
          <bgColor rgb="FFFFF9E6"/>
        </patternFill>
      </fill>
    </dxf>
    <dxf>
      <fill>
        <patternFill>
          <bgColor rgb="FFFFF9E6"/>
        </patternFill>
      </fill>
    </dxf>
    <dxf>
      <fill>
        <patternFill>
          <bgColor rgb="FFFFF9E6"/>
        </patternFill>
      </fill>
    </dxf>
    <dxf>
      <fill>
        <patternFill>
          <bgColor rgb="FFFFF9E6"/>
        </patternFill>
      </fill>
    </dxf>
    <dxf>
      <font>
        <color theme="8" tint="-0.24994659260841701"/>
      </font>
      <fill>
        <patternFill>
          <bgColor theme="6" tint="0.79998168889431442"/>
        </patternFill>
      </fill>
    </dxf>
    <dxf>
      <font>
        <color rgb="FF2F9299"/>
      </font>
    </dxf>
    <dxf>
      <font>
        <color rgb="FFBE5201"/>
      </font>
      <fill>
        <patternFill>
          <bgColor rgb="FFFEF2CD"/>
        </patternFill>
      </fill>
    </dxf>
    <dxf>
      <font>
        <color theme="8" tint="-0.24994659260841701"/>
      </font>
      <fill>
        <patternFill>
          <bgColor theme="6" tint="0.79998168889431442"/>
        </patternFill>
      </fill>
    </dxf>
    <dxf>
      <font>
        <color theme="9" tint="-0.24994659260841701"/>
      </font>
    </dxf>
    <dxf>
      <fill>
        <patternFill>
          <bgColor rgb="FFFFF9E6"/>
        </patternFill>
      </fill>
    </dxf>
    <dxf>
      <fill>
        <patternFill>
          <bgColor rgb="FFFFF9E6"/>
        </patternFill>
      </fill>
    </dxf>
    <dxf>
      <border>
        <left/>
        <right style="thin">
          <color theme="0" tint="-0.34998626667073579"/>
        </right>
        <vertical/>
        <horizontal/>
      </border>
    </dxf>
    <dxf>
      <font>
        <color rgb="FFF0F9FA"/>
      </font>
      <fill>
        <patternFill>
          <bgColor rgb="FFF0F9FA"/>
        </patternFill>
      </fill>
      <border>
        <left/>
        <right style="thin">
          <color theme="0" tint="-0.34998626667073579"/>
        </right>
        <top/>
        <bottom/>
        <vertical/>
        <horizontal/>
      </border>
    </dxf>
    <dxf>
      <fill>
        <patternFill>
          <bgColor rgb="FFFFF9E6"/>
        </patternFill>
      </fill>
    </dxf>
    <dxf>
      <fill>
        <patternFill>
          <bgColor rgb="FFFFF9E6"/>
        </patternFill>
      </fill>
    </dxf>
    <dxf>
      <border>
        <left/>
        <right style="thin">
          <color theme="0" tint="-0.34998626667073579"/>
        </right>
        <vertical/>
        <horizontal/>
      </border>
    </dxf>
    <dxf>
      <fill>
        <patternFill>
          <bgColor rgb="FFFFF9E6"/>
        </patternFill>
      </fill>
    </dxf>
    <dxf>
      <font>
        <color rgb="FFF0F9FA"/>
      </font>
      <fill>
        <patternFill>
          <bgColor rgb="FFF0F9FA"/>
        </patternFill>
      </fill>
      <border>
        <right style="thin">
          <color theme="0" tint="-0.34998626667073579"/>
        </right>
        <top/>
        <bottom/>
        <vertical/>
        <horizontal/>
      </border>
    </dxf>
    <dxf>
      <fill>
        <patternFill>
          <bgColor rgb="FFFFF9E6"/>
        </patternFill>
      </fill>
      <border>
        <right style="thin">
          <color theme="0" tint="-0.34998626667073579"/>
        </right>
      </border>
    </dxf>
    <dxf>
      <font>
        <color rgb="FFF0F9FA"/>
      </font>
      <fill>
        <patternFill>
          <bgColor rgb="FFF0F9FA"/>
        </patternFill>
      </fill>
      <border>
        <right style="thin">
          <color theme="0" tint="-0.34998626667073579"/>
        </right>
        <top/>
        <bottom/>
      </border>
    </dxf>
    <dxf>
      <border>
        <left/>
        <right style="thin">
          <color theme="0" tint="-0.34998626667073579"/>
        </right>
        <vertical/>
        <horizontal/>
      </border>
    </dxf>
    <dxf>
      <fill>
        <patternFill>
          <bgColor rgb="FFFFF9E6"/>
        </patternFill>
      </fill>
    </dxf>
    <dxf>
      <border>
        <left/>
        <right style="thin">
          <color theme="0" tint="-0.34998626667073579"/>
        </right>
        <vertical/>
        <horizontal/>
      </border>
    </dxf>
    <dxf>
      <font>
        <color rgb="FFF0F9FA"/>
      </font>
      <fill>
        <patternFill>
          <bgColor rgb="FFF0F9FA"/>
        </patternFill>
      </fill>
      <border>
        <right style="thin">
          <color theme="0" tint="-0.34998626667073579"/>
        </right>
        <top/>
        <bottom/>
      </border>
    </dxf>
    <dxf>
      <font>
        <color rgb="FFF0F9FA"/>
      </font>
      <fill>
        <patternFill>
          <bgColor rgb="FFF0F9FA"/>
        </patternFill>
      </fill>
      <border>
        <bottom/>
        <vertical/>
        <horizontal/>
      </border>
    </dxf>
    <dxf>
      <fill>
        <patternFill>
          <bgColor rgb="FFFFF9E6"/>
        </patternFill>
      </fill>
    </dxf>
    <dxf>
      <fill>
        <patternFill>
          <bgColor rgb="FFFFF9E6"/>
        </patternFill>
      </fill>
    </dxf>
    <dxf>
      <font>
        <color rgb="FFF0F9FA"/>
      </font>
      <fill>
        <patternFill>
          <bgColor rgb="FFF0F9FA"/>
        </patternFill>
      </fill>
      <border>
        <vertical/>
        <horizontal/>
      </border>
    </dxf>
    <dxf>
      <font>
        <color rgb="FFF0F9FA"/>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bottom/>
      </border>
    </dxf>
    <dxf>
      <font>
        <color rgb="FFF0F9FA"/>
      </font>
    </dxf>
    <dxf>
      <font>
        <color rgb="FFF0F9FA"/>
      </font>
      <fill>
        <patternFill>
          <bgColor rgb="FFF0F9FA"/>
        </patternFill>
      </fill>
      <border>
        <left/>
        <right/>
        <top/>
        <bottom/>
        <vertical/>
        <horizontal/>
      </border>
    </dxf>
    <dxf>
      <font>
        <color theme="8" tint="-0.24994659260841701"/>
      </font>
      <fill>
        <patternFill>
          <bgColor theme="6" tint="0.79998168889431442"/>
        </patternFill>
      </fill>
    </dxf>
    <dxf>
      <fill>
        <patternFill>
          <bgColor rgb="FFFFF9E6"/>
        </patternFill>
      </fill>
    </dxf>
    <dxf>
      <fill>
        <patternFill>
          <bgColor rgb="FFFFF9E6"/>
        </patternFill>
      </fill>
    </dxf>
    <dxf>
      <font>
        <color rgb="FFF0F9FA"/>
      </font>
      <fill>
        <patternFill>
          <bgColor rgb="FFF0F9FA"/>
        </patternFill>
      </fill>
      <border>
        <right/>
        <top/>
      </border>
    </dxf>
    <dxf>
      <border>
        <right style="thin">
          <color theme="0" tint="-0.14996795556505021"/>
        </right>
        <bottom style="thin">
          <color theme="0" tint="-0.34998626667073579"/>
        </bottom>
        <vertical/>
        <horizontal/>
      </border>
    </dxf>
    <dxf>
      <font>
        <color rgb="FFF0F9FA"/>
      </font>
      <fill>
        <patternFill>
          <bgColor rgb="FFF0F9FA"/>
        </patternFill>
      </fill>
      <border>
        <right/>
        <top/>
      </border>
    </dxf>
    <dxf>
      <border>
        <left/>
        <right style="thin">
          <color theme="0" tint="-0.14996795556505021"/>
        </right>
        <vertical/>
        <horizontal/>
      </border>
    </dxf>
    <dxf>
      <fill>
        <patternFill>
          <bgColor rgb="FFFFF9E6"/>
        </patternFill>
      </fill>
    </dxf>
    <dxf>
      <fill>
        <patternFill>
          <bgColor rgb="FFFFF9E6"/>
        </patternFill>
      </fill>
    </dxf>
    <dxf>
      <border>
        <left/>
        <right style="thin">
          <color theme="0" tint="-0.14996795556505021"/>
        </right>
        <vertical/>
        <horizontal/>
      </border>
    </dxf>
    <dxf>
      <fill>
        <patternFill>
          <bgColor rgb="FFFFF9E6"/>
        </patternFill>
      </fill>
      <border>
        <right style="thin">
          <color theme="0" tint="-0.14996795556505021"/>
        </right>
      </border>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ont>
        <color auto="1"/>
      </font>
      <fill>
        <patternFill>
          <bgColor rgb="FFFFF9E6"/>
        </patternFill>
      </fill>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right/>
        <top/>
        <bottom/>
      </border>
    </dxf>
    <dxf>
      <font>
        <color rgb="FFF0F9FA"/>
      </font>
      <fill>
        <patternFill>
          <bgColor rgb="FFF0F9FA"/>
        </patternFill>
      </fill>
      <border>
        <top/>
      </border>
    </dxf>
    <dxf>
      <border>
        <left/>
        <right/>
        <bottom style="thin">
          <color theme="0" tint="-0.34998626667073579"/>
        </bottom>
        <vertical/>
        <horizontal/>
      </border>
    </dxf>
    <dxf>
      <font>
        <color theme="8" tint="-0.24994659260841701"/>
      </font>
      <fill>
        <patternFill>
          <bgColor theme="6" tint="0.79998168889431442"/>
        </patternFill>
      </fill>
    </dxf>
    <dxf>
      <fill>
        <patternFill>
          <bgColor rgb="FFFFF9E6"/>
        </patternFill>
      </fill>
    </dxf>
    <dxf>
      <fill>
        <patternFill>
          <bgColor rgb="FFFFF9E6"/>
        </patternFill>
      </fill>
    </dxf>
    <dxf>
      <fill>
        <patternFill>
          <bgColor rgb="FFFFF9E6"/>
        </patternFill>
      </fill>
    </dxf>
    <dxf>
      <fill>
        <patternFill>
          <bgColor theme="0"/>
        </patternFill>
      </fill>
      <border>
        <right style="thin">
          <color theme="0" tint="-0.14996795556505021"/>
        </right>
      </border>
    </dxf>
    <dxf>
      <border>
        <left/>
        <right style="thin">
          <color theme="0" tint="-0.14996795556505021"/>
        </right>
        <vertical/>
        <horizontal/>
      </border>
    </dxf>
    <dxf>
      <fill>
        <patternFill>
          <bgColor rgb="FFFFF9E6"/>
        </patternFill>
      </fill>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ont>
        <color auto="1"/>
      </font>
      <fill>
        <patternFill>
          <bgColor rgb="FFFFF9E6"/>
        </patternFill>
      </fill>
    </dxf>
    <dxf>
      <fill>
        <patternFill>
          <bgColor rgb="FFFFF9E6"/>
        </patternFill>
      </fill>
    </dxf>
    <dxf>
      <fill>
        <patternFill>
          <bgColor rgb="FFFFF9E6"/>
        </patternFill>
      </fill>
    </dxf>
    <dxf>
      <font>
        <color rgb="FFF0F9FA"/>
      </font>
      <fill>
        <patternFill>
          <bgColor rgb="FFF0F9FA"/>
        </patternFill>
      </fill>
      <border>
        <right/>
        <top/>
        <bottom/>
        <vertical/>
        <horizontal/>
      </border>
    </dxf>
    <dxf>
      <font>
        <color theme="8" tint="-0.24994659260841701"/>
      </font>
      <fill>
        <patternFill>
          <bgColor theme="6" tint="0.79998168889431442"/>
        </patternFill>
      </fill>
    </dxf>
    <dxf>
      <fill>
        <patternFill>
          <bgColor rgb="FFFFF9E6"/>
        </patternFill>
      </fill>
    </dxf>
    <dxf>
      <border>
        <right/>
        <bottom style="thin">
          <color theme="0" tint="-0.34998626667073579"/>
        </bottom>
        <vertical/>
        <horizontal/>
      </border>
    </dxf>
    <dxf>
      <border>
        <right style="thin">
          <color theme="0" tint="-0.14996795556505021"/>
        </right>
        <bottom style="thin">
          <color theme="0" tint="-0.34998626667073579"/>
        </bottom>
        <vertical/>
        <horizontal/>
      </border>
    </dxf>
    <dxf>
      <fill>
        <patternFill>
          <bgColor rgb="FFFFF9E6"/>
        </patternFill>
      </fill>
    </dxf>
    <dxf>
      <border>
        <left/>
        <right style="thin">
          <color theme="0" tint="-0.14996795556505021"/>
        </right>
        <vertical/>
        <horizontal/>
      </border>
    </dxf>
    <dxf>
      <fill>
        <patternFill>
          <bgColor rgb="FFFFF9E6"/>
        </patternFill>
      </fill>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ont>
        <color auto="1"/>
      </font>
      <fill>
        <patternFill>
          <bgColor rgb="FFFFF9E6"/>
        </patternFill>
      </fill>
    </dxf>
    <dxf>
      <fill>
        <patternFill>
          <bgColor rgb="FFFFF9E6"/>
        </patternFill>
      </fill>
    </dxf>
    <dxf>
      <fill>
        <patternFill>
          <bgColor rgb="FFFFF9E6"/>
        </patternFill>
      </fill>
    </dxf>
    <dxf>
      <fill>
        <patternFill>
          <bgColor rgb="FFFFF9E6"/>
        </patternFill>
      </fill>
    </dxf>
    <dxf>
      <border>
        <left/>
        <right/>
        <bottom style="thin">
          <color theme="0" tint="-0.34998626667073579"/>
        </bottom>
        <vertical/>
        <horizontal/>
      </border>
    </dxf>
    <dxf>
      <font>
        <color rgb="FFF0F9FA"/>
      </font>
      <fill>
        <patternFill>
          <bgColor rgb="FFF0F9FA"/>
        </patternFill>
      </fill>
      <border>
        <right/>
        <top/>
      </border>
    </dxf>
    <dxf>
      <font>
        <color rgb="FFF0F9FA"/>
      </font>
      <fill>
        <patternFill>
          <bgColor rgb="FFF0F9FA"/>
        </patternFill>
      </fill>
      <border>
        <right/>
        <top/>
        <bottom/>
        <vertical/>
        <horizontal/>
      </border>
    </dxf>
    <dxf>
      <font>
        <color theme="8" tint="-0.24994659260841701"/>
      </font>
      <fill>
        <patternFill>
          <bgColor theme="6" tint="0.79998168889431442"/>
        </patternFill>
      </fill>
    </dxf>
    <dxf>
      <fill>
        <patternFill>
          <bgColor rgb="FFFFF9E6"/>
        </patternFill>
      </fill>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border>
        <left/>
        <right style="thin">
          <color theme="0" tint="-0.14996795556505021"/>
        </right>
        <vertical/>
        <horizontal/>
      </border>
    </dxf>
    <dxf>
      <font>
        <color auto="1"/>
      </font>
      <fill>
        <patternFill>
          <bgColor rgb="FFFFF9E6"/>
        </patternFill>
      </fill>
    </dxf>
    <dxf>
      <border>
        <left/>
        <right style="thin">
          <color theme="0" tint="-0.14996795556505021"/>
        </right>
        <top style="thin">
          <color theme="0" tint="-0.14996795556505021"/>
        </top>
        <bottom style="thin">
          <color theme="0" tint="-0.14996795556505021"/>
        </bottom>
        <vertical/>
        <horizontal/>
      </border>
    </dxf>
    <dxf>
      <fill>
        <patternFill>
          <bgColor rgb="FFFFF9E6"/>
        </patternFill>
      </fill>
    </dxf>
    <dxf>
      <fill>
        <patternFill>
          <bgColor rgb="FFFFF9E6"/>
        </patternFill>
      </fill>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bottom/>
        <vertical/>
        <horizontal/>
      </border>
    </dxf>
    <dxf>
      <font>
        <color rgb="FF004064"/>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bottom/>
        <vertical/>
        <horizontal/>
      </border>
    </dxf>
    <dxf>
      <font>
        <color rgb="FF004064"/>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right/>
        <top/>
      </border>
    </dxf>
    <dxf>
      <border>
        <right/>
        <bottom style="thin">
          <color theme="0" tint="-0.14996795556505021"/>
        </bottom>
        <vertical/>
        <horizontal/>
      </border>
    </dxf>
    <dxf>
      <border>
        <right/>
        <bottom style="thin">
          <color theme="0" tint="-0.14996795556505021"/>
        </bottom>
        <vertical/>
        <horizontal/>
      </border>
    </dxf>
    <dxf>
      <font>
        <color rgb="FFF0F9FA"/>
      </font>
      <fill>
        <patternFill>
          <bgColor rgb="FFF0F9FA"/>
        </patternFill>
      </fill>
      <border>
        <left/>
        <right/>
        <top/>
        <bottom/>
        <vertical/>
        <horizontal/>
      </border>
    </dxf>
    <dxf>
      <font>
        <color rgb="FFF0F9FA"/>
      </font>
      <fill>
        <patternFill>
          <bgColor rgb="FFF0F9FA"/>
        </patternFill>
      </fill>
      <border>
        <right/>
        <top/>
        <bottom/>
      </border>
    </dxf>
    <dxf>
      <font>
        <color rgb="FFF0F9FA"/>
      </font>
      <fill>
        <patternFill>
          <bgColor rgb="FFF0F9FA"/>
        </patternFill>
      </fill>
      <border>
        <right/>
        <top/>
        <bottom/>
      </border>
    </dxf>
    <dxf>
      <font>
        <color rgb="FFF0F9FA"/>
      </font>
      <fill>
        <patternFill>
          <bgColor rgb="FFF0F9FA"/>
        </patternFill>
      </fill>
      <border>
        <right/>
        <bottom/>
        <vertical/>
        <horizontal/>
      </border>
    </dxf>
    <dxf>
      <font>
        <color rgb="FF2F9299"/>
      </font>
    </dxf>
    <dxf>
      <font>
        <color rgb="FFBE5201"/>
      </font>
      <fill>
        <patternFill>
          <bgColor rgb="FFFEF2CD"/>
        </patternFill>
      </fill>
    </dxf>
    <dxf>
      <font>
        <color rgb="FFF0F9FA"/>
      </font>
      <fill>
        <patternFill>
          <bgColor rgb="FFF0F9FA"/>
        </patternFill>
      </fill>
      <border>
        <right/>
        <vertical/>
        <horizontal/>
      </border>
    </dxf>
    <dxf>
      <font>
        <color rgb="FFF0F9FA"/>
      </font>
      <fill>
        <patternFill>
          <bgColor rgb="FFF0F9FA"/>
        </patternFill>
      </fill>
      <border>
        <right/>
        <bottom/>
        <vertical/>
        <horizontal/>
      </border>
    </dxf>
    <dxf>
      <font>
        <color rgb="FFF0F9FA"/>
      </font>
      <fill>
        <patternFill>
          <bgColor rgb="FFF0F9FA"/>
        </patternFill>
      </fill>
      <border>
        <right/>
        <bottom/>
        <vertical/>
        <horizontal/>
      </border>
    </dxf>
    <dxf>
      <font>
        <color rgb="FFF0F9FA"/>
      </font>
      <fill>
        <patternFill>
          <bgColor rgb="FFF0F9FA"/>
        </patternFill>
      </fill>
      <border>
        <right/>
        <bottom/>
        <vertical/>
        <horizontal/>
      </border>
    </dxf>
    <dxf>
      <font>
        <color rgb="FFF0F9FA"/>
      </font>
      <fill>
        <patternFill>
          <bgColor rgb="FFF0F9FA"/>
        </patternFill>
      </fill>
      <border>
        <right/>
        <top/>
        <bottom/>
        <vertical/>
        <horizontal/>
      </border>
    </dxf>
    <dxf>
      <font>
        <color rgb="FFF0F9FA"/>
      </font>
      <fill>
        <patternFill>
          <bgColor rgb="FFF0F9FA"/>
        </patternFill>
      </fill>
      <border>
        <left/>
        <right/>
        <top/>
        <vertical/>
        <horizontal/>
      </border>
    </dxf>
    <dxf>
      <font>
        <color rgb="FFF0F9FA"/>
      </font>
      <fill>
        <patternFill>
          <bgColor rgb="FFF0F9FA"/>
        </patternFill>
      </fill>
      <border>
        <right/>
        <top/>
        <vertical/>
        <horizontal/>
      </border>
    </dxf>
    <dxf>
      <font>
        <color rgb="FFF0F9FA"/>
      </font>
      <fill>
        <patternFill>
          <bgColor rgb="FFF0F9FA"/>
        </patternFill>
      </fill>
      <border>
        <right/>
        <top/>
        <bottom/>
      </border>
    </dxf>
    <dxf>
      <font>
        <b val="0"/>
        <i val="0"/>
        <color theme="9" tint="-0.24994659260841701"/>
      </font>
    </dxf>
    <dxf>
      <font>
        <b val="0"/>
        <i val="0"/>
        <color rgb="FFBE5201"/>
      </font>
      <fill>
        <patternFill>
          <bgColor rgb="FFFEF2CD"/>
        </patternFill>
      </fill>
    </dxf>
  </dxfs>
  <tableStyles count="0" defaultTableStyle="TableStyleMedium2" defaultPivotStyle="PivotStyleLight16"/>
  <colors>
    <mruColors>
      <color rgb="FF004064"/>
      <color rgb="FFF0F9FA"/>
      <color rgb="FFFEF2CD"/>
      <color rgb="FFBE5201"/>
      <color rgb="FF2F9299"/>
      <color rgb="FF00A7FF"/>
      <color rgb="FFFFF9E6"/>
      <color rgb="FF1B5559"/>
      <color rgb="FF00407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179693</xdr:colOff>
      <xdr:row>1</xdr:row>
      <xdr:rowOff>1324578</xdr:rowOff>
    </xdr:from>
    <xdr:to>
      <xdr:col>0</xdr:col>
      <xdr:colOff>3932464</xdr:colOff>
      <xdr:row>2</xdr:row>
      <xdr:rowOff>297997</xdr:rowOff>
    </xdr:to>
    <xdr:pic>
      <xdr:nvPicPr>
        <xdr:cNvPr id="24" name="Picture 61" descr="Maryland energy administration logo featuring solar panel, building, maryland flag">
          <a:extLst>
            <a:ext uri="{FF2B5EF4-FFF2-40B4-BE49-F238E27FC236}">
              <a16:creationId xmlns:a16="http://schemas.microsoft.com/office/drawing/2014/main" id="{D3069163-F86F-4886-BBEB-EC72479867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693" y="1623935"/>
          <a:ext cx="3752771" cy="1082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2</xdr:col>
      <xdr:colOff>0</xdr:colOff>
      <xdr:row>1</xdr:row>
      <xdr:rowOff>1247775</xdr:rowOff>
    </xdr:to>
    <xdr:sp macro="" textlink="">
      <xdr:nvSpPr>
        <xdr:cNvPr id="2" name="TextBox 7">
          <a:extLst>
            <a:ext uri="{FF2B5EF4-FFF2-40B4-BE49-F238E27FC236}">
              <a16:creationId xmlns:a16="http://schemas.microsoft.com/office/drawing/2014/main" id="{74D21309-2976-422D-9529-6E41E11BF25D}"/>
            </a:ext>
          </a:extLst>
        </xdr:cNvPr>
        <xdr:cNvSpPr txBox="1"/>
      </xdr:nvSpPr>
      <xdr:spPr>
        <a:xfrm>
          <a:off x="0" y="95250"/>
          <a:ext cx="14382750" cy="1247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27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1</xdr:col>
      <xdr:colOff>8015968</xdr:colOff>
      <xdr:row>1</xdr:row>
      <xdr:rowOff>803275</xdr:rowOff>
    </xdr:from>
    <xdr:to>
      <xdr:col>2</xdr:col>
      <xdr:colOff>453</xdr:colOff>
      <xdr:row>3</xdr:row>
      <xdr:rowOff>28576</xdr:rowOff>
    </xdr:to>
    <xdr:grpSp>
      <xdr:nvGrpSpPr>
        <xdr:cNvPr id="94" name="Group 3">
          <a:extLst>
            <a:ext uri="{FF2B5EF4-FFF2-40B4-BE49-F238E27FC236}">
              <a16:creationId xmlns:a16="http://schemas.microsoft.com/office/drawing/2014/main" id="{D7DF658F-821C-4D0B-B406-7FE5BBA8577C}"/>
            </a:ext>
          </a:extLst>
        </xdr:cNvPr>
        <xdr:cNvGrpSpPr/>
      </xdr:nvGrpSpPr>
      <xdr:grpSpPr>
        <a:xfrm>
          <a:off x="12751254" y="999218"/>
          <a:ext cx="2042885" cy="1837872"/>
          <a:chOff x="15681325" y="123825"/>
          <a:chExt cx="1762124" cy="1847851"/>
        </a:xfrm>
      </xdr:grpSpPr>
      <xdr:sp macro="" textlink="">
        <xdr:nvSpPr>
          <xdr:cNvPr id="95" name="Flowchart: Delay 4">
            <a:extLst>
              <a:ext uri="{FF2B5EF4-FFF2-40B4-BE49-F238E27FC236}">
                <a16:creationId xmlns:a16="http://schemas.microsoft.com/office/drawing/2014/main" id="{63A3667C-B9B0-64BC-EE04-6184FAFE77B7}"/>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96" name="Group 17">
            <a:extLst>
              <a:ext uri="{FF2B5EF4-FFF2-40B4-BE49-F238E27FC236}">
                <a16:creationId xmlns:a16="http://schemas.microsoft.com/office/drawing/2014/main" id="{B9B5B23D-BD7A-AD30-BD70-8C2205639060}"/>
              </a:ext>
            </a:extLst>
          </xdr:cNvPr>
          <xdr:cNvGrpSpPr/>
        </xdr:nvGrpSpPr>
        <xdr:grpSpPr>
          <a:xfrm>
            <a:off x="15824200" y="282575"/>
            <a:ext cx="1463168" cy="1492505"/>
            <a:chOff x="15573375" y="189161"/>
            <a:chExt cx="1463168" cy="1502030"/>
          </a:xfrm>
        </xdr:grpSpPr>
        <xdr:sp macro="" textlink="">
          <xdr:nvSpPr>
            <xdr:cNvPr id="97" name="TextBox 11">
              <a:extLst>
                <a:ext uri="{FF2B5EF4-FFF2-40B4-BE49-F238E27FC236}">
                  <a16:creationId xmlns:a16="http://schemas.microsoft.com/office/drawing/2014/main" id="{4852CB04-0C09-D807-3465-D9795C0D6BD6}"/>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98" name="Picture 23">
              <a:extLst>
                <a:ext uri="{FF2B5EF4-FFF2-40B4-BE49-F238E27FC236}">
                  <a16:creationId xmlns:a16="http://schemas.microsoft.com/office/drawing/2014/main" id="{AA2EEBF2-5D03-2C3A-2507-3E086FDD94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152401</xdr:colOff>
      <xdr:row>1</xdr:row>
      <xdr:rowOff>1263925</xdr:rowOff>
    </xdr:from>
    <xdr:to>
      <xdr:col>2</xdr:col>
      <xdr:colOff>749301</xdr:colOff>
      <xdr:row>2</xdr:row>
      <xdr:rowOff>325916</xdr:rowOff>
    </xdr:to>
    <xdr:pic>
      <xdr:nvPicPr>
        <xdr:cNvPr id="68" name="Picture 61" descr="Maryland energy administration logo featuring solar panel, building, maryland flag">
          <a:extLst>
            <a:ext uri="{FF2B5EF4-FFF2-40B4-BE49-F238E27FC236}">
              <a16:creationId xmlns:a16="http://schemas.microsoft.com/office/drawing/2014/main" id="{9D6AAC0B-97DD-4ED1-ADC9-2FDF648998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1" y="1387750"/>
          <a:ext cx="4032250" cy="1147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117474</xdr:rowOff>
    </xdr:from>
    <xdr:to>
      <xdr:col>10</xdr:col>
      <xdr:colOff>9524</xdr:colOff>
      <xdr:row>1</xdr:row>
      <xdr:rowOff>1246377</xdr:rowOff>
    </xdr:to>
    <xdr:sp macro="" textlink="">
      <xdr:nvSpPr>
        <xdr:cNvPr id="69" name="TextBox 7">
          <a:extLst>
            <a:ext uri="{FF2B5EF4-FFF2-40B4-BE49-F238E27FC236}">
              <a16:creationId xmlns:a16="http://schemas.microsoft.com/office/drawing/2014/main" id="{FD3FA64D-EB93-4833-AD55-4BA6E9D5A3DF}"/>
            </a:ext>
          </a:extLst>
        </xdr:cNvPr>
        <xdr:cNvSpPr txBox="1"/>
      </xdr:nvSpPr>
      <xdr:spPr>
        <a:xfrm>
          <a:off x="0" y="117474"/>
          <a:ext cx="17459324" cy="1252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8</xdr:col>
      <xdr:colOff>1676400</xdr:colOff>
      <xdr:row>1</xdr:row>
      <xdr:rowOff>809625</xdr:rowOff>
    </xdr:from>
    <xdr:to>
      <xdr:col>10</xdr:col>
      <xdr:colOff>3174</xdr:colOff>
      <xdr:row>3</xdr:row>
      <xdr:rowOff>1</xdr:rowOff>
    </xdr:to>
    <xdr:grpSp>
      <xdr:nvGrpSpPr>
        <xdr:cNvPr id="2107" name="Group 4">
          <a:extLst>
            <a:ext uri="{FF2B5EF4-FFF2-40B4-BE49-F238E27FC236}">
              <a16:creationId xmlns:a16="http://schemas.microsoft.com/office/drawing/2014/main" id="{2EBD116E-891C-A303-12BC-BC37FF5DAD1E}"/>
            </a:ext>
          </a:extLst>
        </xdr:cNvPr>
        <xdr:cNvGrpSpPr>
          <a:grpSpLocks noChangeAspect="1"/>
        </xdr:cNvGrpSpPr>
      </xdr:nvGrpSpPr>
      <xdr:grpSpPr>
        <a:xfrm>
          <a:off x="15784286" y="1005568"/>
          <a:ext cx="1853745" cy="1966233"/>
          <a:chOff x="15681325" y="123825"/>
          <a:chExt cx="1762124" cy="1847851"/>
        </a:xfrm>
      </xdr:grpSpPr>
      <xdr:sp macro="" textlink="">
        <xdr:nvSpPr>
          <xdr:cNvPr id="2108" name="Flowchart: Delay 4">
            <a:extLst>
              <a:ext uri="{FF2B5EF4-FFF2-40B4-BE49-F238E27FC236}">
                <a16:creationId xmlns:a16="http://schemas.microsoft.com/office/drawing/2014/main" id="{44760A38-776D-4690-8470-5E9D44A3E64E}"/>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2109" name="Group 17">
            <a:extLst>
              <a:ext uri="{FF2B5EF4-FFF2-40B4-BE49-F238E27FC236}">
                <a16:creationId xmlns:a16="http://schemas.microsoft.com/office/drawing/2014/main" id="{941056E6-51AC-42AA-9D13-4095054828F0}"/>
              </a:ext>
            </a:extLst>
          </xdr:cNvPr>
          <xdr:cNvGrpSpPr/>
        </xdr:nvGrpSpPr>
        <xdr:grpSpPr>
          <a:xfrm>
            <a:off x="15824200" y="154705"/>
            <a:ext cx="1463168" cy="1492505"/>
            <a:chOff x="15573375" y="60471"/>
            <a:chExt cx="1463168" cy="1502030"/>
          </a:xfrm>
        </xdr:grpSpPr>
        <xdr:sp macro="" textlink="">
          <xdr:nvSpPr>
            <xdr:cNvPr id="2110" name="TextBox 11">
              <a:extLst>
                <a:ext uri="{FF2B5EF4-FFF2-40B4-BE49-F238E27FC236}">
                  <a16:creationId xmlns:a16="http://schemas.microsoft.com/office/drawing/2014/main" id="{1D360E4E-A78B-C42E-D153-FDDE02F10760}"/>
                </a:ext>
              </a:extLst>
            </xdr:cNvPr>
            <xdr:cNvSpPr txBox="1"/>
          </xdr:nvSpPr>
          <xdr:spPr>
            <a:xfrm>
              <a:off x="15573375" y="6047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2111" name="Picture 23">
              <a:extLst>
                <a:ext uri="{FF2B5EF4-FFF2-40B4-BE49-F238E27FC236}">
                  <a16:creationId xmlns:a16="http://schemas.microsoft.com/office/drawing/2014/main" id="{08E42DB7-1DD4-4FD0-455B-67C687B097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10147" y="617435"/>
              <a:ext cx="969601" cy="945066"/>
            </a:xfrm>
            <a:prstGeom prst="rect">
              <a:avLst/>
            </a:prstGeom>
          </xdr:spPr>
        </xdr:pic>
      </xdr:grp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0</xdr:colOff>
      <xdr:row>1</xdr:row>
      <xdr:rowOff>1247775</xdr:rowOff>
    </xdr:to>
    <xdr:sp macro="" textlink="">
      <xdr:nvSpPr>
        <xdr:cNvPr id="3" name="TextBox 7">
          <a:extLst>
            <a:ext uri="{FF2B5EF4-FFF2-40B4-BE49-F238E27FC236}">
              <a16:creationId xmlns:a16="http://schemas.microsoft.com/office/drawing/2014/main" id="{69BACC41-4A83-46D1-A9CB-B6FA163CF4EE}"/>
            </a:ext>
          </a:extLst>
        </xdr:cNvPr>
        <xdr:cNvSpPr txBox="1"/>
      </xdr:nvSpPr>
      <xdr:spPr>
        <a:xfrm>
          <a:off x="0" y="180975"/>
          <a:ext cx="14382750" cy="1247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5</xdr:col>
      <xdr:colOff>668111</xdr:colOff>
      <xdr:row>1</xdr:row>
      <xdr:rowOff>764722</xdr:rowOff>
    </xdr:from>
    <xdr:to>
      <xdr:col>5</xdr:col>
      <xdr:colOff>2431595</xdr:colOff>
      <xdr:row>2</xdr:row>
      <xdr:rowOff>498023</xdr:rowOff>
    </xdr:to>
    <xdr:grpSp>
      <xdr:nvGrpSpPr>
        <xdr:cNvPr id="47" name="Group 3">
          <a:extLst>
            <a:ext uri="{FF2B5EF4-FFF2-40B4-BE49-F238E27FC236}">
              <a16:creationId xmlns:a16="http://schemas.microsoft.com/office/drawing/2014/main" id="{501228D9-5967-4E13-938A-B8D881D5F912}"/>
            </a:ext>
          </a:extLst>
        </xdr:cNvPr>
        <xdr:cNvGrpSpPr>
          <a:grpSpLocks noChangeAspect="1"/>
        </xdr:cNvGrpSpPr>
      </xdr:nvGrpSpPr>
      <xdr:grpSpPr>
        <a:xfrm>
          <a:off x="13828940" y="938893"/>
          <a:ext cx="1763484" cy="1845130"/>
          <a:chOff x="15681325" y="123825"/>
          <a:chExt cx="1762124" cy="1847851"/>
        </a:xfrm>
      </xdr:grpSpPr>
      <xdr:sp macro="" textlink="">
        <xdr:nvSpPr>
          <xdr:cNvPr id="48" name="Flowchart: Delay 4">
            <a:extLst>
              <a:ext uri="{FF2B5EF4-FFF2-40B4-BE49-F238E27FC236}">
                <a16:creationId xmlns:a16="http://schemas.microsoft.com/office/drawing/2014/main" id="{87D2D891-91C1-FE6F-C3E2-9885E95638F3}"/>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9" name="Group 17">
            <a:extLst>
              <a:ext uri="{FF2B5EF4-FFF2-40B4-BE49-F238E27FC236}">
                <a16:creationId xmlns:a16="http://schemas.microsoft.com/office/drawing/2014/main" id="{2E705B90-33CB-A224-2FD6-B30E55203CFF}"/>
              </a:ext>
            </a:extLst>
          </xdr:cNvPr>
          <xdr:cNvGrpSpPr/>
        </xdr:nvGrpSpPr>
        <xdr:grpSpPr>
          <a:xfrm>
            <a:off x="15824200" y="282575"/>
            <a:ext cx="1463168" cy="1492505"/>
            <a:chOff x="15573375" y="189161"/>
            <a:chExt cx="1463168" cy="1502030"/>
          </a:xfrm>
        </xdr:grpSpPr>
        <xdr:sp macro="" textlink="">
          <xdr:nvSpPr>
            <xdr:cNvPr id="50" name="TextBox 11">
              <a:extLst>
                <a:ext uri="{FF2B5EF4-FFF2-40B4-BE49-F238E27FC236}">
                  <a16:creationId xmlns:a16="http://schemas.microsoft.com/office/drawing/2014/main" id="{C1E8C5BF-1F1E-E921-785D-7C5439248AB9}"/>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51" name="Picture 23">
              <a:extLst>
                <a:ext uri="{FF2B5EF4-FFF2-40B4-BE49-F238E27FC236}">
                  <a16:creationId xmlns:a16="http://schemas.microsoft.com/office/drawing/2014/main" id="{24532035-778F-4868-DE3A-5AEFE68E14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twoCellAnchor editAs="oneCell">
    <xdr:from>
      <xdr:col>0</xdr:col>
      <xdr:colOff>57227</xdr:colOff>
      <xdr:row>1</xdr:row>
      <xdr:rowOff>1354928</xdr:rowOff>
    </xdr:from>
    <xdr:to>
      <xdr:col>1</xdr:col>
      <xdr:colOff>884464</xdr:colOff>
      <xdr:row>2</xdr:row>
      <xdr:rowOff>285037</xdr:rowOff>
    </xdr:to>
    <xdr:pic>
      <xdr:nvPicPr>
        <xdr:cNvPr id="4" name="Picture 61" descr="Maryland energy administration logo featuring solar panel, building, maryland flag">
          <a:extLst>
            <a:ext uri="{FF2B5EF4-FFF2-40B4-BE49-F238E27FC236}">
              <a16:creationId xmlns:a16="http://schemas.microsoft.com/office/drawing/2014/main" id="{0319E02A-E009-48D7-802D-611CB2AB85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227" y="1531821"/>
          <a:ext cx="3657523" cy="1039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119061</xdr:colOff>
      <xdr:row>1</xdr:row>
      <xdr:rowOff>1235350</xdr:rowOff>
    </xdr:from>
    <xdr:to>
      <xdr:col>2</xdr:col>
      <xdr:colOff>775608</xdr:colOff>
      <xdr:row>2</xdr:row>
      <xdr:rowOff>323231</xdr:rowOff>
    </xdr:to>
    <xdr:pic>
      <xdr:nvPicPr>
        <xdr:cNvPr id="57" name="Picture 61" descr="Maryland energy administration logo featuring solar panel, building, maryland flag">
          <a:extLst>
            <a:ext uri="{FF2B5EF4-FFF2-40B4-BE49-F238E27FC236}">
              <a16:creationId xmlns:a16="http://schemas.microsoft.com/office/drawing/2014/main" id="{BBAF7ACC-2984-4B8B-8864-A3F5808C85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61" y="1359175"/>
          <a:ext cx="4071940" cy="1173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114300</xdr:rowOff>
    </xdr:from>
    <xdr:to>
      <xdr:col>10</xdr:col>
      <xdr:colOff>9525</xdr:colOff>
      <xdr:row>1</xdr:row>
      <xdr:rowOff>1304925</xdr:rowOff>
    </xdr:to>
    <xdr:sp macro="" textlink="">
      <xdr:nvSpPr>
        <xdr:cNvPr id="3" name="TextBox 2">
          <a:extLst>
            <a:ext uri="{FF2B5EF4-FFF2-40B4-BE49-F238E27FC236}">
              <a16:creationId xmlns:a16="http://schemas.microsoft.com/office/drawing/2014/main" id="{ED610FCB-5C2B-41B9-9CB9-9AD58959CB5E}"/>
            </a:ext>
          </a:extLst>
        </xdr:cNvPr>
        <xdr:cNvSpPr txBox="1"/>
      </xdr:nvSpPr>
      <xdr:spPr>
        <a:xfrm>
          <a:off x="0" y="114300"/>
          <a:ext cx="16392525" cy="131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8</xdr:col>
      <xdr:colOff>1666876</xdr:colOff>
      <xdr:row>1</xdr:row>
      <xdr:rowOff>782412</xdr:rowOff>
    </xdr:from>
    <xdr:to>
      <xdr:col>10</xdr:col>
      <xdr:colOff>0</xdr:colOff>
      <xdr:row>2</xdr:row>
      <xdr:rowOff>544288</xdr:rowOff>
    </xdr:to>
    <xdr:grpSp>
      <xdr:nvGrpSpPr>
        <xdr:cNvPr id="7" name="Group 6">
          <a:extLst>
            <a:ext uri="{FF2B5EF4-FFF2-40B4-BE49-F238E27FC236}">
              <a16:creationId xmlns:a16="http://schemas.microsoft.com/office/drawing/2014/main" id="{6DCBF44E-3827-9365-7372-7C059CDFF119}"/>
            </a:ext>
          </a:extLst>
        </xdr:cNvPr>
        <xdr:cNvGrpSpPr>
          <a:grpSpLocks noChangeAspect="1"/>
        </xdr:cNvGrpSpPr>
      </xdr:nvGrpSpPr>
      <xdr:grpSpPr>
        <a:xfrm>
          <a:off x="15774762" y="978355"/>
          <a:ext cx="1860095" cy="1841047"/>
          <a:chOff x="14620876" y="123827"/>
          <a:chExt cx="1762124" cy="1847851"/>
        </a:xfrm>
      </xdr:grpSpPr>
      <xdr:sp macro="" textlink="">
        <xdr:nvSpPr>
          <xdr:cNvPr id="29" name="Flowchart: Delay 8">
            <a:extLst>
              <a:ext uri="{FF2B5EF4-FFF2-40B4-BE49-F238E27FC236}">
                <a16:creationId xmlns:a16="http://schemas.microsoft.com/office/drawing/2014/main" id="{D7ABAF96-FA3C-4939-A6B7-9A0B8A13B39A}"/>
              </a:ext>
            </a:extLst>
          </xdr:cNvPr>
          <xdr:cNvSpPr/>
        </xdr:nvSpPr>
        <xdr:spPr>
          <a:xfrm flipH="1">
            <a:off x="14620876" y="123827"/>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30" name="Group 3">
            <a:extLst>
              <a:ext uri="{FF2B5EF4-FFF2-40B4-BE49-F238E27FC236}">
                <a16:creationId xmlns:a16="http://schemas.microsoft.com/office/drawing/2014/main" id="{2CD07435-D588-41C3-B7D6-2C05CA4208D0}"/>
              </a:ext>
            </a:extLst>
          </xdr:cNvPr>
          <xdr:cNvGrpSpPr/>
        </xdr:nvGrpSpPr>
        <xdr:grpSpPr>
          <a:xfrm>
            <a:off x="14779625" y="250825"/>
            <a:ext cx="1456818" cy="1508380"/>
            <a:chOff x="15573375" y="189161"/>
            <a:chExt cx="1463168" cy="1502030"/>
          </a:xfrm>
        </xdr:grpSpPr>
        <xdr:sp macro="" textlink="">
          <xdr:nvSpPr>
            <xdr:cNvPr id="31" name="TextBox 11">
              <a:extLst>
                <a:ext uri="{FF2B5EF4-FFF2-40B4-BE49-F238E27FC236}">
                  <a16:creationId xmlns:a16="http://schemas.microsoft.com/office/drawing/2014/main" id="{B845B2B4-81B5-5404-A116-7C1FE842B4ED}"/>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32" name="Picture 23">
              <a:extLst>
                <a:ext uri="{FF2B5EF4-FFF2-40B4-BE49-F238E27FC236}">
                  <a16:creationId xmlns:a16="http://schemas.microsoft.com/office/drawing/2014/main" id="{11E91113-901C-9BA8-0D7A-AB42EEBFB5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mde.maryland.gov/Environmental_Justice/Pages/MDEnviroScreen.aspx" TargetMode="External"/><Relationship Id="rId7" Type="http://schemas.openxmlformats.org/officeDocument/2006/relationships/vmlDrawing" Target="../drawings/vmlDrawing1.vml"/><Relationship Id="rId2" Type="http://schemas.openxmlformats.org/officeDocument/2006/relationships/hyperlink" Target="https://www.montgomerycountymd.gov/department-environmental-protection/energy/energy-commercial-multifamily/covered-buildings-deadlines" TargetMode="External"/><Relationship Id="rId1" Type="http://schemas.openxmlformats.org/officeDocument/2006/relationships/hyperlink" Target="https://mde.maryland.gov/programs/air/ClimateChange/Clean-Buildings/Pages/BEPS.aspx" TargetMode="External"/><Relationship Id="rId6" Type="http://schemas.openxmlformats.org/officeDocument/2006/relationships/drawing" Target="../drawings/drawing2.xml"/><Relationship Id="rId5" Type="http://schemas.openxmlformats.org/officeDocument/2006/relationships/printerSettings" Target="../printerSettings/printerSettings1.bin"/><Relationship Id="rId4" Type="http://schemas.openxmlformats.org/officeDocument/2006/relationships/hyperlink" Target="https://experience.arcgis.com/experience/8b24a4ffb5ee4670af96d7b174c1933b/"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eia.gov/state/data.php?sid=MD" TargetMode="External"/><Relationship Id="rId7" Type="http://schemas.openxmlformats.org/officeDocument/2006/relationships/comments" Target="../comments2.xml"/><Relationship Id="rId2" Type="http://schemas.openxmlformats.org/officeDocument/2006/relationships/hyperlink" Target="https://www.eia.gov/state/data.php?sid=MD" TargetMode="External"/><Relationship Id="rId1" Type="http://schemas.openxmlformats.org/officeDocument/2006/relationships/hyperlink" Target="https://www.eia.gov/dnav/pet/hist/LeafHandler.ashx?n=PET&amp;s=W_EPD2F_PWR_SMD_DPG&amp;f=W"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www.eia.gov/states/MD/data/dashboard/coa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5FF5C-8A0B-422F-9040-CC8BCA052800}">
  <sheetPr>
    <tabColor theme="9" tint="0.79998168889431442"/>
  </sheetPr>
  <dimension ref="A1:H33"/>
  <sheetViews>
    <sheetView showGridLines="0" tabSelected="1" zoomScale="70" zoomScaleNormal="70" workbookViewId="0">
      <selection activeCell="C2" sqref="C2"/>
    </sheetView>
  </sheetViews>
  <sheetFormatPr defaultColWidth="8.77734375" defaultRowHeight="13.2" x14ac:dyDescent="0.25"/>
  <cols>
    <col min="1" max="1" width="69" customWidth="1"/>
    <col min="2" max="2" width="146.6640625" customWidth="1"/>
  </cols>
  <sheetData>
    <row r="1" spans="1:8" ht="15" customHeight="1" x14ac:dyDescent="0.25">
      <c r="A1" s="85"/>
      <c r="B1" s="86"/>
    </row>
    <row r="2" spans="1:8" ht="166.5" customHeight="1" x14ac:dyDescent="0.25">
      <c r="A2" s="87"/>
      <c r="B2" s="88"/>
    </row>
    <row r="3" spans="1:8" s="89" customFormat="1" ht="39.75" customHeight="1" x14ac:dyDescent="0.3">
      <c r="A3" s="301" t="s">
        <v>65</v>
      </c>
      <c r="B3" s="302"/>
      <c r="C3"/>
      <c r="D3"/>
      <c r="E3"/>
      <c r="F3"/>
      <c r="G3"/>
      <c r="H3"/>
    </row>
    <row r="4" spans="1:8" ht="142.5" customHeight="1" x14ac:dyDescent="0.4">
      <c r="A4" s="299" t="s">
        <v>257</v>
      </c>
      <c r="B4" s="300"/>
    </row>
    <row r="5" spans="1:8" s="29" customFormat="1" ht="13.5" customHeight="1" x14ac:dyDescent="0.3">
      <c r="A5" s="90"/>
      <c r="B5" s="91"/>
      <c r="C5"/>
      <c r="D5"/>
      <c r="E5"/>
      <c r="F5"/>
      <c r="G5"/>
      <c r="H5"/>
    </row>
    <row r="6" spans="1:8" s="92" customFormat="1" ht="43.5" customHeight="1" x14ac:dyDescent="0.25">
      <c r="A6" s="303" t="s">
        <v>192</v>
      </c>
      <c r="B6" s="304"/>
    </row>
    <row r="7" spans="1:8" ht="43.5" customHeight="1" x14ac:dyDescent="0.25">
      <c r="A7" s="93" t="s">
        <v>45</v>
      </c>
      <c r="B7" s="94" t="s">
        <v>27</v>
      </c>
    </row>
    <row r="8" spans="1:8" ht="170.1" customHeight="1" x14ac:dyDescent="0.25">
      <c r="A8" s="95" t="s">
        <v>46</v>
      </c>
      <c r="B8" s="96" t="s">
        <v>258</v>
      </c>
    </row>
    <row r="9" spans="1:8" ht="84" customHeight="1" x14ac:dyDescent="0.25">
      <c r="A9" s="95" t="s">
        <v>47</v>
      </c>
      <c r="B9" s="96" t="s">
        <v>207</v>
      </c>
    </row>
    <row r="10" spans="1:8" ht="65.099999999999994" customHeight="1" x14ac:dyDescent="0.25">
      <c r="A10" s="95" t="s">
        <v>134</v>
      </c>
      <c r="B10" s="96" t="s">
        <v>211</v>
      </c>
    </row>
    <row r="11" spans="1:8" ht="65.099999999999994" customHeight="1" x14ac:dyDescent="0.25">
      <c r="A11" s="95" t="s">
        <v>135</v>
      </c>
      <c r="B11" s="96" t="s">
        <v>137</v>
      </c>
    </row>
    <row r="12" spans="1:8" ht="84" customHeight="1" x14ac:dyDescent="0.25">
      <c r="A12" s="95" t="s">
        <v>133</v>
      </c>
      <c r="B12" s="96" t="s">
        <v>208</v>
      </c>
    </row>
    <row r="13" spans="1:8" ht="65.099999999999994" customHeight="1" x14ac:dyDescent="0.25">
      <c r="A13" s="95" t="s">
        <v>209</v>
      </c>
      <c r="B13" s="96" t="s">
        <v>210</v>
      </c>
    </row>
    <row r="14" spans="1:8" ht="84" customHeight="1" x14ac:dyDescent="0.25">
      <c r="A14" s="95" t="s">
        <v>136</v>
      </c>
      <c r="B14" s="96" t="s">
        <v>260</v>
      </c>
    </row>
    <row r="15" spans="1:8" ht="84" customHeight="1" x14ac:dyDescent="0.25">
      <c r="A15" s="95" t="s">
        <v>234</v>
      </c>
      <c r="B15" s="96" t="s">
        <v>233</v>
      </c>
    </row>
    <row r="16" spans="1:8" ht="149.25" customHeight="1" x14ac:dyDescent="0.25">
      <c r="A16" s="97" t="s">
        <v>138</v>
      </c>
      <c r="B16" s="98" t="s">
        <v>259</v>
      </c>
    </row>
    <row r="17" spans="1:8" s="29" customFormat="1" ht="13.5" customHeight="1" x14ac:dyDescent="0.3">
      <c r="A17" s="90"/>
      <c r="B17" s="91"/>
      <c r="C17"/>
      <c r="D17"/>
      <c r="E17"/>
      <c r="F17"/>
      <c r="G17"/>
      <c r="H17"/>
    </row>
    <row r="18" spans="1:8" s="29" customFormat="1" ht="43.5" customHeight="1" x14ac:dyDescent="0.3">
      <c r="A18" s="303" t="s">
        <v>148</v>
      </c>
      <c r="B18" s="305"/>
      <c r="C18"/>
      <c r="D18"/>
      <c r="E18"/>
      <c r="F18"/>
      <c r="G18"/>
      <c r="H18"/>
    </row>
    <row r="19" spans="1:8" s="29" customFormat="1" ht="43.5" customHeight="1" x14ac:dyDescent="0.3">
      <c r="A19" s="93" t="s">
        <v>45</v>
      </c>
      <c r="B19" s="94" t="s">
        <v>27</v>
      </c>
      <c r="C19"/>
      <c r="D19"/>
      <c r="E19"/>
      <c r="F19"/>
      <c r="G19"/>
      <c r="H19"/>
    </row>
    <row r="20" spans="1:8" s="29" customFormat="1" ht="65.099999999999994" customHeight="1" x14ac:dyDescent="0.3">
      <c r="A20" s="95" t="s">
        <v>140</v>
      </c>
      <c r="B20" s="96" t="s">
        <v>143</v>
      </c>
      <c r="C20"/>
      <c r="D20"/>
      <c r="E20"/>
      <c r="F20"/>
      <c r="G20"/>
      <c r="H20"/>
    </row>
    <row r="21" spans="1:8" s="29" customFormat="1" ht="84" customHeight="1" x14ac:dyDescent="0.3">
      <c r="A21" s="95" t="s">
        <v>141</v>
      </c>
      <c r="B21" s="96" t="s">
        <v>144</v>
      </c>
      <c r="C21"/>
      <c r="D21"/>
      <c r="E21"/>
      <c r="F21"/>
      <c r="G21"/>
      <c r="H21"/>
    </row>
    <row r="22" spans="1:8" s="29" customFormat="1" ht="65.099999999999994" customHeight="1" x14ac:dyDescent="0.3">
      <c r="A22" s="97" t="s">
        <v>142</v>
      </c>
      <c r="B22" s="98" t="s">
        <v>145</v>
      </c>
      <c r="C22"/>
      <c r="D22"/>
      <c r="E22"/>
      <c r="F22"/>
      <c r="G22"/>
      <c r="H22"/>
    </row>
    <row r="23" spans="1:8" s="29" customFormat="1" ht="13.5" customHeight="1" x14ac:dyDescent="0.3">
      <c r="A23" s="90"/>
      <c r="B23" s="91"/>
      <c r="C23"/>
      <c r="D23"/>
      <c r="E23"/>
      <c r="F23"/>
      <c r="G23"/>
      <c r="H23"/>
    </row>
    <row r="24" spans="1:8" s="99" customFormat="1" ht="43.5" customHeight="1" x14ac:dyDescent="0.4">
      <c r="A24" s="303" t="s">
        <v>64</v>
      </c>
      <c r="B24" s="304"/>
    </row>
    <row r="25" spans="1:8" ht="43.5" customHeight="1" x14ac:dyDescent="0.25">
      <c r="A25" s="93" t="s">
        <v>45</v>
      </c>
      <c r="B25" s="94" t="s">
        <v>27</v>
      </c>
    </row>
    <row r="26" spans="1:8" ht="84" customHeight="1" x14ac:dyDescent="0.25">
      <c r="A26" s="95" t="s">
        <v>48</v>
      </c>
      <c r="B26" s="96" t="s">
        <v>49</v>
      </c>
    </row>
    <row r="27" spans="1:8" ht="65.099999999999994" customHeight="1" x14ac:dyDescent="0.25">
      <c r="A27" s="95" t="s">
        <v>62</v>
      </c>
      <c r="B27" s="96" t="s">
        <v>50</v>
      </c>
    </row>
    <row r="28" spans="1:8" ht="84" customHeight="1" x14ac:dyDescent="0.25">
      <c r="A28" s="95" t="s">
        <v>51</v>
      </c>
      <c r="B28" s="96" t="s">
        <v>286</v>
      </c>
    </row>
    <row r="29" spans="1:8" ht="65.099999999999994" customHeight="1" x14ac:dyDescent="0.25">
      <c r="A29" s="95" t="s">
        <v>81</v>
      </c>
      <c r="B29" s="96" t="s">
        <v>287</v>
      </c>
    </row>
    <row r="30" spans="1:8" ht="84" customHeight="1" x14ac:dyDescent="0.25">
      <c r="A30" s="97" t="s">
        <v>82</v>
      </c>
      <c r="B30" s="98" t="s">
        <v>52</v>
      </c>
    </row>
    <row r="31" spans="1:8" s="29" customFormat="1" ht="13.5" customHeight="1" x14ac:dyDescent="0.3">
      <c r="A31" s="100"/>
      <c r="B31" s="100"/>
      <c r="C31"/>
      <c r="D31"/>
      <c r="E31"/>
      <c r="F31"/>
      <c r="G31"/>
      <c r="H31"/>
    </row>
    <row r="32" spans="1:8" s="29" customFormat="1" ht="18" customHeight="1" x14ac:dyDescent="0.3">
      <c r="A32" s="101"/>
      <c r="B32" s="101"/>
      <c r="C32"/>
      <c r="D32"/>
      <c r="E32"/>
      <c r="F32"/>
      <c r="G32"/>
      <c r="H32"/>
    </row>
    <row r="33" spans="1:8" s="29" customFormat="1" ht="7.5" customHeight="1" x14ac:dyDescent="0.3">
      <c r="A33" s="102"/>
      <c r="B33" s="102"/>
      <c r="C33"/>
      <c r="D33"/>
      <c r="E33"/>
      <c r="F33"/>
      <c r="G33"/>
      <c r="H33"/>
    </row>
  </sheetData>
  <sheetProtection algorithmName="SHA-512" hashValue="wPdpDe6C3X+eNUD058W1K80gwsZ7cRnHa89obkwviALbxL6XUxs1CyvK0lqkUT5Cj3UO+xP120D7NL24UWx6Dw==" saltValue="/WIH2MPyjuyyN6isopIsDQ==" spinCount="100000" sheet="1" objects="1" scenarios="1"/>
  <mergeCells count="5">
    <mergeCell ref="A4:B4"/>
    <mergeCell ref="A3:B3"/>
    <mergeCell ref="A6:B6"/>
    <mergeCell ref="A24:B24"/>
    <mergeCell ref="A18:B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7AFE7-A0E7-4E66-8FC4-C34062F0A7BF}">
  <sheetPr>
    <tabColor rgb="FFFFC000"/>
    <pageSetUpPr autoPageBreaks="0"/>
  </sheetPr>
  <dimension ref="A1:R80"/>
  <sheetViews>
    <sheetView showGridLines="0" zoomScale="70" zoomScaleNormal="70" workbookViewId="0">
      <selection activeCell="K67" sqref="K67"/>
    </sheetView>
  </sheetViews>
  <sheetFormatPr defaultColWidth="9.109375" defaultRowHeight="13.8" x14ac:dyDescent="0.3"/>
  <cols>
    <col min="1" max="10" width="25.6640625" style="29" customWidth="1"/>
    <col min="11" max="11" width="15.6640625" style="29" customWidth="1"/>
    <col min="12" max="12" width="33.6640625" style="29" customWidth="1"/>
    <col min="13" max="19" width="15.6640625" style="29" customWidth="1"/>
    <col min="20" max="16384" width="9.109375" style="29"/>
  </cols>
  <sheetData>
    <row r="1" spans="1:18" customFormat="1" ht="15" customHeight="1" x14ac:dyDescent="0.25">
      <c r="A1" s="85"/>
      <c r="B1" s="171"/>
      <c r="C1" s="171"/>
      <c r="D1" s="171"/>
      <c r="E1" s="171"/>
      <c r="F1" s="171"/>
      <c r="G1" s="171"/>
      <c r="H1" s="171"/>
      <c r="I1" s="171"/>
      <c r="J1" s="86"/>
    </row>
    <row r="2" spans="1:18" ht="164.25" customHeight="1" x14ac:dyDescent="1.4">
      <c r="A2" s="119"/>
      <c r="B2" s="120"/>
      <c r="C2" s="120"/>
      <c r="D2" s="120"/>
      <c r="E2" s="120"/>
      <c r="F2" s="120"/>
      <c r="G2" s="120"/>
      <c r="H2" s="120"/>
      <c r="I2" s="120"/>
      <c r="J2" s="172"/>
    </row>
    <row r="3" spans="1:18" s="89" customFormat="1" ht="54.75" customHeight="1" x14ac:dyDescent="0.3">
      <c r="A3" s="312" t="s">
        <v>202</v>
      </c>
      <c r="B3" s="313"/>
      <c r="C3" s="313"/>
      <c r="D3" s="313"/>
      <c r="E3" s="313"/>
      <c r="F3" s="313"/>
      <c r="G3" s="313"/>
      <c r="H3" s="313"/>
      <c r="I3" s="313"/>
      <c r="J3" s="314"/>
    </row>
    <row r="4" spans="1:18" ht="13.5" customHeight="1" x14ac:dyDescent="0.3">
      <c r="A4" s="173"/>
      <c r="B4" s="174"/>
      <c r="C4" s="173"/>
      <c r="D4" s="174"/>
      <c r="E4" s="173"/>
      <c r="F4" s="174"/>
      <c r="G4" s="174"/>
      <c r="H4" s="174"/>
      <c r="I4" s="173"/>
      <c r="J4" s="175"/>
    </row>
    <row r="5" spans="1:18" ht="35.1" customHeight="1" x14ac:dyDescent="0.5">
      <c r="A5" s="152" t="s">
        <v>43</v>
      </c>
      <c r="B5" s="153"/>
      <c r="C5" s="153"/>
      <c r="D5" s="153"/>
      <c r="E5" s="153"/>
      <c r="F5" s="153"/>
      <c r="G5" s="153"/>
      <c r="H5" s="153"/>
      <c r="I5" s="153"/>
      <c r="J5" s="176"/>
      <c r="R5" s="177"/>
    </row>
    <row r="6" spans="1:18" ht="35.1" customHeight="1" x14ac:dyDescent="0.3">
      <c r="A6" s="178" t="s">
        <v>60</v>
      </c>
      <c r="B6" s="179"/>
      <c r="C6" s="179"/>
      <c r="D6" s="179"/>
      <c r="E6" s="179"/>
      <c r="F6" s="179"/>
      <c r="G6" s="179"/>
      <c r="H6" s="179"/>
      <c r="I6" s="179"/>
      <c r="J6" s="180"/>
      <c r="R6" s="177"/>
    </row>
    <row r="7" spans="1:18" ht="13.5" customHeight="1" x14ac:dyDescent="0.3">
      <c r="A7" s="181"/>
      <c r="B7" s="182"/>
      <c r="C7" s="183"/>
      <c r="D7" s="182"/>
      <c r="E7" s="183"/>
      <c r="F7" s="182"/>
      <c r="G7" s="182"/>
      <c r="H7" s="182"/>
      <c r="I7" s="183"/>
      <c r="J7" s="184"/>
      <c r="R7" s="177"/>
    </row>
    <row r="8" spans="1:18" ht="78" customHeight="1" x14ac:dyDescent="0.3">
      <c r="A8" s="185" t="s">
        <v>269</v>
      </c>
      <c r="B8" s="2"/>
      <c r="C8" s="186" t="s">
        <v>270</v>
      </c>
      <c r="D8" s="3"/>
      <c r="E8" s="186" t="s">
        <v>272</v>
      </c>
      <c r="F8" s="3"/>
      <c r="G8" s="186" t="s">
        <v>275</v>
      </c>
      <c r="H8" s="3"/>
      <c r="I8" s="186" t="s">
        <v>276</v>
      </c>
      <c r="J8" s="1"/>
    </row>
    <row r="9" spans="1:18" ht="13.5" customHeight="1" x14ac:dyDescent="0.3">
      <c r="A9" s="187"/>
      <c r="B9" s="91"/>
      <c r="C9" s="90"/>
      <c r="D9" s="91"/>
      <c r="E9" s="90"/>
      <c r="F9" s="91"/>
      <c r="G9" s="91"/>
      <c r="H9" s="91"/>
      <c r="I9" s="90"/>
      <c r="J9" s="188"/>
    </row>
    <row r="10" spans="1:18" ht="68.25" customHeight="1" x14ac:dyDescent="0.3">
      <c r="A10" s="189" t="s">
        <v>268</v>
      </c>
      <c r="B10" s="4"/>
      <c r="C10" s="190" t="s">
        <v>271</v>
      </c>
      <c r="D10" s="5"/>
      <c r="E10" s="190" t="s">
        <v>273</v>
      </c>
      <c r="F10" s="4"/>
      <c r="G10" s="190" t="s">
        <v>274</v>
      </c>
      <c r="H10" s="4"/>
      <c r="I10" s="100"/>
      <c r="J10" s="191"/>
    </row>
    <row r="11" spans="1:18" ht="13.5" customHeight="1" x14ac:dyDescent="0.3">
      <c r="A11" s="192"/>
      <c r="B11" s="91"/>
      <c r="C11" s="90"/>
      <c r="D11" s="59"/>
      <c r="E11" s="91"/>
      <c r="F11" s="91"/>
      <c r="G11" s="91"/>
      <c r="H11" s="91"/>
      <c r="I11" s="90"/>
      <c r="J11" s="60"/>
    </row>
    <row r="12" spans="1:18" ht="18" customHeight="1" x14ac:dyDescent="0.3">
      <c r="A12" s="320" t="s">
        <v>267</v>
      </c>
      <c r="B12" s="323"/>
      <c r="C12" s="61" t="s">
        <v>170</v>
      </c>
      <c r="D12" s="90"/>
      <c r="E12" s="91"/>
      <c r="F12" s="91"/>
      <c r="G12" s="91"/>
      <c r="H12" s="91"/>
      <c r="I12" s="90"/>
      <c r="J12" s="60"/>
    </row>
    <row r="13" spans="1:18" ht="18" customHeight="1" x14ac:dyDescent="0.3">
      <c r="A13" s="321"/>
      <c r="B13" s="324"/>
      <c r="C13" s="61" t="s">
        <v>169</v>
      </c>
      <c r="D13" s="90"/>
      <c r="E13" s="91"/>
      <c r="F13" s="91"/>
      <c r="G13" s="91"/>
      <c r="H13" s="91"/>
      <c r="I13" s="90"/>
      <c r="J13" s="60"/>
    </row>
    <row r="14" spans="1:18" ht="18" customHeight="1" x14ac:dyDescent="0.3">
      <c r="A14" s="321"/>
      <c r="B14" s="324"/>
      <c r="C14" s="61" t="s">
        <v>263</v>
      </c>
      <c r="D14" s="90"/>
      <c r="E14" s="91"/>
      <c r="F14" s="91"/>
      <c r="G14" s="91"/>
      <c r="H14" s="91"/>
      <c r="I14" s="90"/>
      <c r="J14" s="60"/>
    </row>
    <row r="15" spans="1:18" ht="18" customHeight="1" x14ac:dyDescent="0.3">
      <c r="A15" s="322"/>
      <c r="B15" s="325"/>
      <c r="C15" s="61" t="s">
        <v>264</v>
      </c>
      <c r="D15" s="90"/>
      <c r="E15" s="91"/>
      <c r="F15" s="91"/>
      <c r="G15" s="91"/>
      <c r="H15" s="91"/>
      <c r="I15" s="90"/>
      <c r="J15" s="60"/>
    </row>
    <row r="16" spans="1:18" ht="13.5" customHeight="1" x14ac:dyDescent="0.3">
      <c r="A16" s="192"/>
      <c r="B16" s="91"/>
      <c r="C16" s="90"/>
      <c r="D16" s="59"/>
      <c r="E16" s="91"/>
      <c r="F16" s="91"/>
      <c r="G16" s="91"/>
      <c r="H16" s="91"/>
      <c r="I16" s="90"/>
      <c r="J16" s="60"/>
    </row>
    <row r="17" spans="1:12" ht="68.25" customHeight="1" x14ac:dyDescent="0.3">
      <c r="A17" s="194" t="s">
        <v>266</v>
      </c>
      <c r="B17" s="318"/>
      <c r="C17" s="318"/>
      <c r="D17" s="318"/>
      <c r="E17" s="318"/>
      <c r="F17" s="318"/>
      <c r="G17" s="318"/>
      <c r="H17" s="318"/>
      <c r="I17" s="318"/>
      <c r="J17" s="319"/>
    </row>
    <row r="18" spans="1:12" ht="13.5" customHeight="1" x14ac:dyDescent="0.3">
      <c r="A18" s="195"/>
      <c r="B18" s="196"/>
      <c r="C18" s="197"/>
      <c r="D18" s="62"/>
      <c r="E18" s="197"/>
      <c r="F18" s="196"/>
      <c r="G18" s="196"/>
      <c r="H18" s="196"/>
      <c r="I18" s="197"/>
      <c r="J18" s="63"/>
    </row>
    <row r="19" spans="1:12" ht="45" customHeight="1" x14ac:dyDescent="0.3">
      <c r="A19" s="198" t="s">
        <v>181</v>
      </c>
      <c r="B19" s="199"/>
      <c r="C19" s="200"/>
      <c r="D19" s="199"/>
      <c r="E19" s="200"/>
      <c r="F19" s="199"/>
      <c r="G19" s="199"/>
      <c r="H19" s="199"/>
      <c r="I19" s="200"/>
      <c r="J19" s="201"/>
    </row>
    <row r="20" spans="1:12" ht="35.1" customHeight="1" x14ac:dyDescent="0.5">
      <c r="A20" s="202" t="s">
        <v>44</v>
      </c>
      <c r="B20" s="203"/>
      <c r="C20" s="203"/>
      <c r="D20" s="204"/>
      <c r="E20" s="203"/>
      <c r="F20" s="203"/>
      <c r="G20" s="203"/>
      <c r="H20" s="203"/>
      <c r="I20" s="203"/>
      <c r="J20" s="205"/>
    </row>
    <row r="21" spans="1:12" ht="39.9" customHeight="1" x14ac:dyDescent="0.3">
      <c r="A21" s="206" t="s">
        <v>83</v>
      </c>
      <c r="B21" s="207"/>
      <c r="C21" s="207"/>
      <c r="D21" s="207"/>
      <c r="E21" s="207"/>
      <c r="F21" s="207"/>
      <c r="G21" s="207"/>
      <c r="H21" s="207"/>
      <c r="I21" s="207"/>
      <c r="J21" s="208"/>
    </row>
    <row r="22" spans="1:12" ht="13.5" customHeight="1" x14ac:dyDescent="0.3">
      <c r="A22" s="209"/>
      <c r="B22" s="182"/>
      <c r="C22" s="183"/>
      <c r="D22" s="64"/>
      <c r="E22" s="183"/>
      <c r="F22" s="182"/>
      <c r="G22" s="182"/>
      <c r="H22" s="182"/>
      <c r="I22" s="183"/>
      <c r="J22" s="65"/>
    </row>
    <row r="23" spans="1:12" ht="59.25" customHeight="1" x14ac:dyDescent="0.3">
      <c r="A23" s="210" t="s">
        <v>0</v>
      </c>
      <c r="B23" s="7"/>
      <c r="C23" s="211" t="s">
        <v>1</v>
      </c>
      <c r="D23" s="7"/>
      <c r="E23" s="211" t="s">
        <v>23</v>
      </c>
      <c r="F23" s="7"/>
      <c r="G23" s="211" t="s">
        <v>2</v>
      </c>
      <c r="H23" s="7"/>
      <c r="I23" s="211" t="s">
        <v>128</v>
      </c>
      <c r="J23" s="6"/>
      <c r="L23" s="212"/>
    </row>
    <row r="24" spans="1:12" ht="13.5" customHeight="1" x14ac:dyDescent="0.3">
      <c r="A24" s="209"/>
      <c r="B24" s="182"/>
      <c r="C24" s="183"/>
      <c r="D24" s="64"/>
      <c r="E24" s="183"/>
      <c r="F24" s="182"/>
      <c r="G24" s="182"/>
      <c r="H24" s="182"/>
      <c r="I24" s="183"/>
      <c r="J24" s="65"/>
    </row>
    <row r="25" spans="1:12" ht="35.1" customHeight="1" x14ac:dyDescent="0.5">
      <c r="A25" s="213" t="s">
        <v>108</v>
      </c>
      <c r="B25" s="214"/>
      <c r="C25" s="214"/>
      <c r="D25" s="215"/>
      <c r="E25" s="214"/>
      <c r="F25" s="214"/>
      <c r="G25" s="214"/>
      <c r="H25" s="214"/>
      <c r="I25" s="214"/>
      <c r="J25" s="216"/>
    </row>
    <row r="26" spans="1:12" ht="35.1" customHeight="1" x14ac:dyDescent="0.3">
      <c r="A26" s="217" t="s">
        <v>214</v>
      </c>
      <c r="B26" s="218"/>
      <c r="C26" s="218"/>
      <c r="D26" s="218"/>
      <c r="E26" s="218"/>
      <c r="F26" s="218"/>
      <c r="G26" s="218"/>
      <c r="H26" s="218"/>
      <c r="I26" s="218"/>
      <c r="J26" s="219"/>
    </row>
    <row r="27" spans="1:12" ht="13.5" customHeight="1" x14ac:dyDescent="0.3">
      <c r="A27" s="209"/>
      <c r="B27" s="182"/>
      <c r="C27" s="183"/>
      <c r="D27" s="64"/>
      <c r="E27" s="183"/>
      <c r="F27" s="182"/>
      <c r="G27" s="182"/>
      <c r="H27" s="182"/>
      <c r="I27" s="183"/>
      <c r="J27" s="65"/>
    </row>
    <row r="28" spans="1:12" ht="54.9" customHeight="1" x14ac:dyDescent="0.3">
      <c r="A28" s="220" t="s">
        <v>112</v>
      </c>
      <c r="B28" s="66">
        <f>'Embedded Values'!$D$13</f>
        <v>0.18190000000000001</v>
      </c>
      <c r="C28" s="221" t="s">
        <v>113</v>
      </c>
      <c r="D28" s="66">
        <f>'Embedded Values'!$D$14</f>
        <v>0.77170000000000005</v>
      </c>
      <c r="E28" s="221" t="s">
        <v>114</v>
      </c>
      <c r="F28" s="66">
        <f>'Embedded Values'!$D$15</f>
        <v>1.22</v>
      </c>
      <c r="G28" s="221" t="s">
        <v>115</v>
      </c>
      <c r="H28" s="66">
        <f>'Embedded Values'!$D$16</f>
        <v>4.6120000000000001</v>
      </c>
      <c r="I28" s="221" t="s">
        <v>129</v>
      </c>
      <c r="J28" s="67">
        <f>'Embedded Values'!$D$17</f>
        <v>95.93</v>
      </c>
    </row>
    <row r="29" spans="1:12" ht="13.5" customHeight="1" x14ac:dyDescent="0.3">
      <c r="A29" s="222"/>
      <c r="B29" s="174"/>
      <c r="C29" s="173"/>
      <c r="D29" s="68"/>
      <c r="E29" s="173"/>
      <c r="F29" s="174"/>
      <c r="G29" s="174"/>
      <c r="H29" s="174"/>
      <c r="I29" s="173"/>
      <c r="J29" s="69"/>
    </row>
    <row r="30" spans="1:12" s="223" customFormat="1" ht="45" customHeight="1" x14ac:dyDescent="0.3">
      <c r="A30" s="198" t="s">
        <v>123</v>
      </c>
      <c r="B30" s="199"/>
      <c r="C30" s="200"/>
      <c r="D30" s="199"/>
      <c r="E30" s="200"/>
      <c r="F30" s="199"/>
      <c r="G30" s="199"/>
      <c r="H30" s="199"/>
      <c r="I30" s="200"/>
      <c r="J30" s="201"/>
    </row>
    <row r="31" spans="1:12" ht="35.1" customHeight="1" x14ac:dyDescent="0.5">
      <c r="A31" s="213" t="s">
        <v>125</v>
      </c>
      <c r="B31" s="224"/>
      <c r="C31" s="224"/>
      <c r="D31" s="224"/>
      <c r="E31" s="224"/>
      <c r="F31" s="224"/>
      <c r="G31" s="224"/>
      <c r="H31" s="224"/>
      <c r="I31" s="224"/>
      <c r="J31" s="225"/>
    </row>
    <row r="32" spans="1:12" ht="39.9" customHeight="1" x14ac:dyDescent="0.3">
      <c r="A32" s="217" t="s">
        <v>194</v>
      </c>
      <c r="B32" s="226"/>
      <c r="C32" s="226"/>
      <c r="D32" s="226"/>
      <c r="E32" s="226"/>
      <c r="F32" s="226"/>
      <c r="G32" s="226"/>
      <c r="H32" s="226"/>
      <c r="I32" s="226"/>
      <c r="J32" s="227"/>
    </row>
    <row r="33" spans="1:10" ht="13.5" customHeight="1" x14ac:dyDescent="0.3">
      <c r="A33" s="228"/>
      <c r="B33" s="229"/>
      <c r="C33" s="230"/>
      <c r="D33" s="59"/>
      <c r="E33" s="90"/>
      <c r="F33" s="91"/>
      <c r="G33" s="91"/>
      <c r="H33" s="91"/>
      <c r="I33" s="90"/>
      <c r="J33" s="60"/>
    </row>
    <row r="34" spans="1:10" ht="105" customHeight="1" x14ac:dyDescent="0.3">
      <c r="A34" s="193" t="s">
        <v>75</v>
      </c>
      <c r="B34" s="10" t="s">
        <v>166</v>
      </c>
      <c r="C34" s="231" t="s">
        <v>76</v>
      </c>
      <c r="D34" s="9" t="s">
        <v>146</v>
      </c>
      <c r="E34" s="211" t="s">
        <v>77</v>
      </c>
      <c r="F34" s="8" t="s">
        <v>38</v>
      </c>
      <c r="G34" s="232" t="s">
        <v>78</v>
      </c>
      <c r="H34" s="11" t="s">
        <v>205</v>
      </c>
      <c r="I34" s="233" t="s">
        <v>168</v>
      </c>
      <c r="J34" s="234"/>
    </row>
    <row r="35" spans="1:10" ht="13.5" customHeight="1" x14ac:dyDescent="0.3">
      <c r="A35" s="192"/>
      <c r="B35" s="91"/>
      <c r="C35" s="90"/>
      <c r="D35" s="59"/>
      <c r="E35" s="90"/>
      <c r="F35" s="91"/>
      <c r="G35" s="91"/>
      <c r="H35" s="91"/>
      <c r="I35" s="90"/>
      <c r="J35" s="60"/>
    </row>
    <row r="36" spans="1:10" ht="35.1" customHeight="1" x14ac:dyDescent="0.5">
      <c r="A36" s="235" t="s">
        <v>212</v>
      </c>
      <c r="B36" s="236"/>
      <c r="C36" s="236"/>
      <c r="D36" s="236"/>
      <c r="E36" s="236"/>
      <c r="F36" s="236"/>
      <c r="G36" s="236"/>
      <c r="H36" s="236"/>
      <c r="I36" s="236"/>
      <c r="J36" s="237"/>
    </row>
    <row r="37" spans="1:10" ht="39.9" customHeight="1" x14ac:dyDescent="0.3">
      <c r="A37" s="217" t="s">
        <v>265</v>
      </c>
      <c r="B37" s="226"/>
      <c r="C37" s="226"/>
      <c r="D37" s="226"/>
      <c r="E37" s="226"/>
      <c r="F37" s="226"/>
      <c r="G37" s="226"/>
      <c r="H37" s="226"/>
      <c r="I37" s="226"/>
      <c r="J37" s="227"/>
    </row>
    <row r="38" spans="1:10" ht="13.5" customHeight="1" x14ac:dyDescent="0.3">
      <c r="A38" s="192"/>
      <c r="B38" s="91"/>
      <c r="C38" s="90"/>
      <c r="D38" s="59"/>
      <c r="E38" s="90"/>
      <c r="F38" s="91"/>
      <c r="G38" s="91"/>
      <c r="H38" s="91"/>
      <c r="I38" s="90"/>
      <c r="J38" s="60"/>
    </row>
    <row r="39" spans="1:10" ht="36.75" customHeight="1" x14ac:dyDescent="0.3">
      <c r="A39" s="238" t="s">
        <v>68</v>
      </c>
      <c r="B39" s="239" t="s">
        <v>69</v>
      </c>
      <c r="C39" s="240" t="s">
        <v>70</v>
      </c>
      <c r="D39" s="241" t="s">
        <v>71</v>
      </c>
      <c r="E39" s="240" t="s">
        <v>72</v>
      </c>
      <c r="F39" s="241" t="s">
        <v>73</v>
      </c>
      <c r="G39" s="240" t="s">
        <v>74</v>
      </c>
      <c r="H39" s="241" t="s">
        <v>73</v>
      </c>
      <c r="I39" s="240" t="s">
        <v>116</v>
      </c>
      <c r="J39" s="242" t="s">
        <v>126</v>
      </c>
    </row>
    <row r="40" spans="1:10" ht="13.5" customHeight="1" x14ac:dyDescent="0.3">
      <c r="A40" s="192"/>
      <c r="B40" s="91"/>
      <c r="C40" s="90"/>
      <c r="D40" s="59"/>
      <c r="E40" s="90"/>
      <c r="F40" s="91"/>
      <c r="G40" s="91"/>
      <c r="H40" s="91"/>
      <c r="I40" s="90"/>
      <c r="J40" s="60"/>
    </row>
    <row r="41" spans="1:10" ht="81.900000000000006" customHeight="1" x14ac:dyDescent="0.3">
      <c r="A41" s="210" t="str">
        <f>IF($B$34="[Select an ECM from the dropdown list]",
"",
$A$34&amp;" "&amp;$B$34
)</f>
        <v>ECM 1. Commercial Appliances — Fuel Switching</v>
      </c>
      <c r="B41" s="13">
        <v>50000</v>
      </c>
      <c r="C41" s="243" t="str">
        <f>$A$41</f>
        <v>ECM 1. Commercial Appliances — Fuel Switching</v>
      </c>
      <c r="D41" s="13">
        <v>0</v>
      </c>
      <c r="E41" s="243" t="str">
        <f>$A$41</f>
        <v>ECM 1. Commercial Appliances — Fuel Switching</v>
      </c>
      <c r="F41" s="13">
        <v>0</v>
      </c>
      <c r="G41" s="243" t="str">
        <f>$A$41</f>
        <v>ECM 1. Commercial Appliances — Fuel Switching</v>
      </c>
      <c r="H41" s="13">
        <v>0</v>
      </c>
      <c r="I41" s="244" t="str">
        <f>$A$41</f>
        <v>ECM 1. Commercial Appliances — Fuel Switching</v>
      </c>
      <c r="J41" s="6">
        <v>0</v>
      </c>
    </row>
    <row r="42" spans="1:10" ht="13.5" customHeight="1" x14ac:dyDescent="0.3">
      <c r="A42" s="245"/>
      <c r="B42" s="70"/>
      <c r="C42" s="246"/>
      <c r="D42" s="70"/>
      <c r="E42" s="246"/>
      <c r="F42" s="70"/>
      <c r="G42" s="246"/>
      <c r="H42" s="70"/>
      <c r="I42" s="246"/>
      <c r="J42" s="71"/>
    </row>
    <row r="43" spans="1:10" ht="81.900000000000006" customHeight="1" x14ac:dyDescent="0.3">
      <c r="A43" s="247" t="str">
        <f>IF($D$34="[Select an ECM from the dropdown list]",
"",
$C$34&amp;" "&amp;$D$34
)</f>
        <v>ECM 2. Air Sealing/ Insulation</v>
      </c>
      <c r="B43" s="15"/>
      <c r="C43" s="248" t="str">
        <f>$A$43</f>
        <v>ECM 2. Air Sealing/ Insulation</v>
      </c>
      <c r="D43" s="15"/>
      <c r="E43" s="248" t="str">
        <f>$A$43</f>
        <v>ECM 2. Air Sealing/ Insulation</v>
      </c>
      <c r="F43" s="15"/>
      <c r="G43" s="248" t="str">
        <f>$A$43</f>
        <v>ECM 2. Air Sealing/ Insulation</v>
      </c>
      <c r="H43" s="15"/>
      <c r="I43" s="248" t="str">
        <f>$A$43</f>
        <v>ECM 2. Air Sealing/ Insulation</v>
      </c>
      <c r="J43" s="14"/>
    </row>
    <row r="44" spans="1:10" ht="13.5" customHeight="1" x14ac:dyDescent="0.3">
      <c r="A44" s="245"/>
      <c r="B44" s="70"/>
      <c r="C44" s="246"/>
      <c r="D44" s="70"/>
      <c r="E44" s="246"/>
      <c r="F44" s="70"/>
      <c r="G44" s="246"/>
      <c r="H44" s="70"/>
      <c r="I44" s="246"/>
      <c r="J44" s="71"/>
    </row>
    <row r="45" spans="1:10" ht="81.900000000000006" customHeight="1" x14ac:dyDescent="0.3">
      <c r="A45" s="210" t="str">
        <f>IF($F$34="[Select an ECM from the dropdown list]",
"",
$E$34&amp;" "&amp;$F$34
)</f>
        <v>ECM 3. Building Automation Systems/Controls</v>
      </c>
      <c r="B45" s="13"/>
      <c r="C45" s="211" t="str">
        <f>$A$45</f>
        <v>ECM 3. Building Automation Systems/Controls</v>
      </c>
      <c r="D45" s="13"/>
      <c r="E45" s="211" t="str">
        <f>$A$45</f>
        <v>ECM 3. Building Automation Systems/Controls</v>
      </c>
      <c r="F45" s="13"/>
      <c r="G45" s="211" t="str">
        <f>$A$45</f>
        <v>ECM 3. Building Automation Systems/Controls</v>
      </c>
      <c r="H45" s="13"/>
      <c r="I45" s="211" t="str">
        <f>$A$45</f>
        <v>ECM 3. Building Automation Systems/Controls</v>
      </c>
      <c r="J45" s="6"/>
    </row>
    <row r="46" spans="1:10" ht="13.5" customHeight="1" x14ac:dyDescent="0.3">
      <c r="A46" s="245"/>
      <c r="B46" s="70"/>
      <c r="C46" s="246"/>
      <c r="D46" s="70"/>
      <c r="E46" s="246"/>
      <c r="F46" s="70"/>
      <c r="G46" s="246"/>
      <c r="H46" s="70"/>
      <c r="I46" s="246"/>
      <c r="J46" s="71"/>
    </row>
    <row r="47" spans="1:10" ht="81.900000000000006" customHeight="1" x14ac:dyDescent="0.3">
      <c r="A47" s="210" t="str">
        <f>IF($H$34="[Select an ECM from the dropdown list]",
"",
$G$34&amp;" "&amp;$H$34
)</f>
        <v>ECM 4. Window and Exterior Door Replacements</v>
      </c>
      <c r="B47" s="7"/>
      <c r="C47" s="211" t="str">
        <f>$A$47</f>
        <v>ECM 4. Window and Exterior Door Replacements</v>
      </c>
      <c r="D47" s="7"/>
      <c r="E47" s="211" t="str">
        <f>$A$47</f>
        <v>ECM 4. Window and Exterior Door Replacements</v>
      </c>
      <c r="F47" s="7"/>
      <c r="G47" s="211" t="str">
        <f>$A$47</f>
        <v>ECM 4. Window and Exterior Door Replacements</v>
      </c>
      <c r="H47" s="7"/>
      <c r="I47" s="211" t="str">
        <f>$A$47</f>
        <v>ECM 4. Window and Exterior Door Replacements</v>
      </c>
      <c r="J47" s="6"/>
    </row>
    <row r="48" spans="1:10" ht="13.5" customHeight="1" x14ac:dyDescent="0.3">
      <c r="A48" s="192"/>
      <c r="B48" s="91"/>
      <c r="C48" s="90"/>
      <c r="D48" s="59"/>
      <c r="E48" s="90"/>
      <c r="F48" s="91"/>
      <c r="G48" s="91"/>
      <c r="H48" s="91"/>
      <c r="I48" s="90"/>
      <c r="J48" s="60"/>
    </row>
    <row r="49" spans="1:16" ht="35.1" customHeight="1" x14ac:dyDescent="0.5">
      <c r="A49" s="235" t="s">
        <v>61</v>
      </c>
      <c r="B49" s="249"/>
      <c r="C49" s="249"/>
      <c r="D49" s="250"/>
      <c r="E49" s="249"/>
      <c r="F49" s="249"/>
      <c r="G49" s="249"/>
      <c r="H49" s="249"/>
      <c r="I49" s="249"/>
      <c r="J49" s="251"/>
    </row>
    <row r="50" spans="1:16" ht="35.1" customHeight="1" x14ac:dyDescent="0.3">
      <c r="A50" s="252" t="s">
        <v>206</v>
      </c>
      <c r="B50" s="218"/>
      <c r="C50" s="218"/>
      <c r="D50" s="218"/>
      <c r="E50" s="218"/>
      <c r="F50" s="218"/>
      <c r="G50" s="218"/>
      <c r="H50" s="218"/>
      <c r="I50" s="218"/>
      <c r="J50" s="219"/>
      <c r="P50" s="253"/>
    </row>
    <row r="51" spans="1:16" ht="13.5" customHeight="1" x14ac:dyDescent="0.3">
      <c r="A51" s="192"/>
      <c r="B51" s="91"/>
      <c r="C51" s="90"/>
      <c r="D51" s="59"/>
      <c r="E51" s="90"/>
      <c r="F51" s="91"/>
      <c r="G51" s="91"/>
      <c r="H51" s="91"/>
      <c r="I51" s="90"/>
      <c r="J51" s="60"/>
    </row>
    <row r="52" spans="1:16" ht="81.900000000000006" customHeight="1" x14ac:dyDescent="0.3">
      <c r="A52" s="220" t="str">
        <f>$A$41</f>
        <v>ECM 1. Commercial Appliances — Fuel Switching</v>
      </c>
      <c r="B52" s="12">
        <v>100000</v>
      </c>
      <c r="C52" s="254" t="str">
        <f>$A$43</f>
        <v>ECM 2. Air Sealing/ Insulation</v>
      </c>
      <c r="D52" s="12">
        <v>50000</v>
      </c>
      <c r="E52" s="254" t="str">
        <f>$A$45</f>
        <v>ECM 3. Building Automation Systems/Controls</v>
      </c>
      <c r="F52" s="12">
        <v>30000</v>
      </c>
      <c r="G52" s="254" t="str">
        <f>$A$47</f>
        <v>ECM 4. Window and Exterior Door Replacements</v>
      </c>
      <c r="H52" s="12">
        <v>25000</v>
      </c>
      <c r="I52" s="255"/>
      <c r="J52" s="256"/>
    </row>
    <row r="53" spans="1:16" ht="13.5" customHeight="1" x14ac:dyDescent="0.3">
      <c r="A53" s="187"/>
      <c r="B53" s="72"/>
      <c r="C53" s="90"/>
      <c r="D53" s="72"/>
      <c r="E53" s="90"/>
      <c r="F53" s="72"/>
      <c r="G53" s="72"/>
      <c r="H53" s="72"/>
      <c r="I53" s="197"/>
      <c r="J53" s="73"/>
    </row>
    <row r="54" spans="1:16" s="223" customFormat="1" ht="45" customHeight="1" x14ac:dyDescent="0.3">
      <c r="A54" s="198" t="s">
        <v>124</v>
      </c>
      <c r="B54" s="199"/>
      <c r="C54" s="200"/>
      <c r="D54" s="199"/>
      <c r="E54" s="200"/>
      <c r="F54" s="199"/>
      <c r="G54" s="199"/>
      <c r="H54" s="199"/>
      <c r="I54" s="200"/>
      <c r="J54" s="201"/>
    </row>
    <row r="55" spans="1:16" ht="35.1" customHeight="1" x14ac:dyDescent="0.5">
      <c r="A55" s="213" t="s">
        <v>117</v>
      </c>
      <c r="B55" s="224"/>
      <c r="C55" s="224"/>
      <c r="D55" s="224"/>
      <c r="E55" s="224"/>
      <c r="F55" s="224"/>
      <c r="G55" s="224"/>
      <c r="H55" s="224"/>
      <c r="I55" s="224"/>
      <c r="J55" s="225"/>
    </row>
    <row r="56" spans="1:16" ht="39.9" customHeight="1" x14ac:dyDescent="0.3">
      <c r="A56" s="217" t="s">
        <v>231</v>
      </c>
      <c r="B56" s="226"/>
      <c r="C56" s="226"/>
      <c r="D56" s="226"/>
      <c r="E56" s="226"/>
      <c r="F56" s="226"/>
      <c r="G56" s="226"/>
      <c r="H56" s="226"/>
      <c r="I56" s="226"/>
      <c r="J56" s="227"/>
    </row>
    <row r="57" spans="1:16" ht="21.9" customHeight="1" x14ac:dyDescent="0.3">
      <c r="A57" s="257" t="s">
        <v>223</v>
      </c>
      <c r="B57" s="74"/>
      <c r="C57" s="258"/>
      <c r="D57" s="74"/>
      <c r="E57" s="258"/>
      <c r="F57" s="74"/>
      <c r="G57" s="258"/>
      <c r="H57" s="74"/>
      <c r="I57" s="258"/>
      <c r="J57" s="75"/>
    </row>
    <row r="58" spans="1:16" ht="90" customHeight="1" x14ac:dyDescent="0.3">
      <c r="A58" s="259" t="s">
        <v>57</v>
      </c>
      <c r="B58" s="7"/>
      <c r="C58" s="211" t="s">
        <v>109</v>
      </c>
      <c r="D58" s="7"/>
      <c r="E58" s="211" t="s">
        <v>127</v>
      </c>
      <c r="F58" s="7"/>
      <c r="G58" s="211" t="s">
        <v>213</v>
      </c>
      <c r="H58" s="17"/>
      <c r="I58" s="211" t="s">
        <v>230</v>
      </c>
      <c r="J58" s="16"/>
    </row>
    <row r="59" spans="1:16" ht="21.9" customHeight="1" x14ac:dyDescent="0.3">
      <c r="A59" s="257" t="str">
        <f>IF(
    $B$10='Dev. Notes'!$B$17,
    "Solar PV is not applicable to Commercial Buildings.",
    IF(
        $H$10='Dev. Notes'!$B$4,
        "No Solar PV in this project.",
        "SOLAR CANOPY INSTALLATION"
    )
)</f>
        <v>SOLAR CANOPY INSTALLATION</v>
      </c>
      <c r="B59" s="74"/>
      <c r="C59" s="258"/>
      <c r="D59" s="74"/>
      <c r="E59" s="258"/>
      <c r="F59" s="74"/>
      <c r="G59" s="258"/>
      <c r="H59" s="74"/>
      <c r="I59" s="258"/>
      <c r="J59" s="75"/>
    </row>
    <row r="60" spans="1:16" ht="90" customHeight="1" x14ac:dyDescent="0.3">
      <c r="A60" s="259" t="s">
        <v>57</v>
      </c>
      <c r="B60" s="7"/>
      <c r="C60" s="211" t="s">
        <v>109</v>
      </c>
      <c r="D60" s="7"/>
      <c r="E60" s="211" t="s">
        <v>127</v>
      </c>
      <c r="F60" s="7"/>
      <c r="G60" s="211" t="s">
        <v>213</v>
      </c>
      <c r="H60" s="17"/>
      <c r="I60" s="211" t="s">
        <v>230</v>
      </c>
      <c r="J60" s="16"/>
    </row>
    <row r="61" spans="1:16" ht="13.5" customHeight="1" x14ac:dyDescent="0.3">
      <c r="A61" s="238"/>
      <c r="B61" s="76"/>
      <c r="C61" s="260"/>
      <c r="D61" s="76"/>
      <c r="E61" s="260"/>
      <c r="F61" s="76"/>
      <c r="G61" s="260"/>
      <c r="H61" s="76"/>
      <c r="I61" s="260"/>
      <c r="J61" s="77"/>
    </row>
    <row r="62" spans="1:16" ht="35.1" customHeight="1" x14ac:dyDescent="0.5">
      <c r="A62" s="235" t="s">
        <v>119</v>
      </c>
      <c r="B62" s="249"/>
      <c r="C62" s="249"/>
      <c r="D62" s="250"/>
      <c r="E62" s="249"/>
      <c r="F62" s="249"/>
      <c r="G62" s="249"/>
      <c r="H62" s="249"/>
      <c r="I62" s="249"/>
      <c r="J62" s="251"/>
    </row>
    <row r="63" spans="1:16" ht="35.1" customHeight="1" x14ac:dyDescent="0.3">
      <c r="A63" s="252" t="s">
        <v>232</v>
      </c>
      <c r="B63" s="218"/>
      <c r="C63" s="218"/>
      <c r="D63" s="218"/>
      <c r="E63" s="218"/>
      <c r="F63" s="218"/>
      <c r="G63" s="218"/>
      <c r="H63" s="218"/>
      <c r="I63" s="218"/>
      <c r="J63" s="219"/>
      <c r="L63" s="261"/>
    </row>
    <row r="64" spans="1:16" ht="21.9" customHeight="1" x14ac:dyDescent="0.3">
      <c r="A64" s="257" t="s">
        <v>223</v>
      </c>
      <c r="B64" s="74"/>
      <c r="C64" s="258"/>
      <c r="D64" s="74"/>
      <c r="E64" s="258"/>
      <c r="F64" s="74"/>
      <c r="G64" s="74"/>
      <c r="H64" s="74"/>
      <c r="I64" s="258"/>
      <c r="J64" s="75"/>
    </row>
    <row r="65" spans="1:10" ht="95.1" customHeight="1" x14ac:dyDescent="0.3">
      <c r="A65" s="315" t="str" cm="1">
        <f t="array" ref="A65">IFERROR(
_xlfn.LET(
    _xlpm.requestedPerKW,IFERROR(--$J$65,0),
    _xlpm.requestedGrant,IFERROR(--$J$58,0),
    _xlpm.projectCost,IFERROR(--$H$58,0),
    _xlpm.ownership,$D$58,
    _xlpm.building,$B$10,
    _xlpm.srow,
    _xlfn.SWITCH(
        _xlpm.building,
        'Dev. Notes'!$B$18,ROW('MEA Incentives'!$A$40),
        'Dev. Notes'!$B$19,ROW('MEA Incentives'!$A$48),
        'Dev. Notes'!$B$20,ROW('MEA Incentives'!$A$56),
        'Dev. Notes'!$B$21,ROW('MEA Incentives'!$A$56),
        0
    ),
    _xlpm.rateCol,
    IF(
        _xlpm.ownership='Dev. Notes'!$B$28,
        2,
        IF(
            _xlpm.ownership='Dev. Notes'!$B$29,
            3,
            0
        )
    ),
    _xlpm.rateRow,
    IF(
        _xlpm.srow=0,
        0,
        _xlpm.srow+1
    ),
    _xlpm.capRow,
    IF(
        _xlpm.srow=0,
        0,
        _xlpm.srow+5
    ),
    _xlpm.allowedRate,
    IFERROR(--'Dev. Notes'!$C$41,0),
    _xlpm.allowedPct,
    IF(
        OR(_xlpm.capRow=0,_xlpm.rateCol=0),
        0,
        IFERROR(
            INDEX(
                'MEA Incentives'!$A:$D,
                _xlpm.capRow,
                _xlpm.rateCol
            ),
            0
        )
    ),
    _xlpm.requestedPct,
    IFERROR(
        _xlpm.requestedGrant/_xlpm.projectCost,
        0
    ),
    _xlpm.overRate,
    _xlpm.requestedPerKW&gt;_xlpm.allowedRate,
    _xlpm.overPct,
    _xlpm.requestedPct&gt;_xlpm.allowedPct,
    IF(
        _xlpm.building='Dev. Notes'!$B$17,
        "",
        IF(
            OR(
                $H$10='Dev. Notes'!$B$4,
                $H$10='Dev. Notes'!$B$6
            ),
            "No Ground Mount/Rooftop Solar PV in this project.",
            IF(
                OR(
                    _xlpm.requestedPerKW&lt;=0,
                    _xlpm.requestedGrant&lt;=0,
                    _xlpm.projectCost&lt;=0,
                    _xlpm.allowedRate&lt;=0,
                    _xlpm.allowedPct&lt;=0
                ),
                "",
                IF(
                    AND(_xlpm.overRate,_xlpm.overPct),
                    "Solar PV Requested Grant Amount exceeds both the MEA rate cap of $"&amp;
                    TEXT(_xlpm.allowedRate,"#,##0")&amp;
                    "/kW and the project cost share cap of "&amp;
                    TEXT(_xlpm.allowedPct,"0%")&amp;".",
                    IF(
                        _xlpm.overRate,
                        "Solar PV Requested Grant Amount of $"&amp;
                        TEXT(_xlpm.requestedPerKW,"#,##0")&amp;
                        "/kW exceeds the MEA rate cap of $"&amp;
                        TEXT(_xlpm.allowedRate,"#,##0")&amp;
                        "/kW.",
                        IF(
                            _xlpm.overPct,
                            "Solar PV Requested Grant Amount represents "&amp;
                            TEXT(_xlpm.requestedPct,"0%")&amp;
                            " of the Solar PV System Total Project Costs and exceeds the project cost share cap of "&amp;
                            TEXT(_xlpm.allowedPct,"0%")&amp;".",
                            "Solar PV Requested Grant Amount is within the MEA rate cap of $"&amp;
                            TEXT(_xlpm.allowedRate,"#,##0")&amp;
                            "/kW and the project cost share cap of "&amp;
                            TEXT(_xlpm.allowedPct,"0%")&amp;"."
                        )
                    )
                )
            )
        )
    )
),
"")</f>
        <v/>
      </c>
      <c r="B65" s="316"/>
      <c r="C65" s="316"/>
      <c r="D65" s="316"/>
      <c r="E65" s="316"/>
      <c r="F65" s="316"/>
      <c r="G65" s="316"/>
      <c r="H65" s="317"/>
      <c r="I65" s="262" t="s">
        <v>229</v>
      </c>
      <c r="J65" s="78" t="str">
        <f>IFERROR(
    IF(
        OR(
            $B$10='Dev. Notes'!$B$17,
            $H$10='Dev. Notes'!$B$4,
            $H$10='Dev. Notes'!$B$6,
            $B$58&lt;=0
        ),
        "",
        'Dev. Notes'!$C$41
    ),
    ""
)</f>
        <v/>
      </c>
    </row>
    <row r="66" spans="1:10" ht="21.9" customHeight="1" x14ac:dyDescent="0.3">
      <c r="A66" s="257" t="str">
        <f>IF(
    $B$10='Dev. Notes'!$B$17,
    "Solar PV is not applicable to Commercial Buildings.",
    IF(
        $H$10='Dev. Notes'!$B$4,
        "No Solar PV in this project.",
        "SOLAR CANOPY INSTALLATION"
    )
)</f>
        <v>SOLAR CANOPY INSTALLATION</v>
      </c>
      <c r="B66" s="74"/>
      <c r="C66" s="258"/>
      <c r="D66" s="74"/>
      <c r="E66" s="258"/>
      <c r="F66" s="74"/>
      <c r="G66" s="74"/>
      <c r="H66" s="74"/>
      <c r="I66" s="258"/>
      <c r="J66" s="75"/>
    </row>
    <row r="67" spans="1:10" ht="95.1" customHeight="1" x14ac:dyDescent="0.3">
      <c r="A67" s="326" t="str" cm="1">
        <f t="array" ref="A67">IFERROR(
_xlfn.LET(
    _xlpm.requestedPerKW,IFERROR(--$J$67,0),
    _xlpm.requestedGrant,IFERROR(--$J$60,0),
    _xlpm.projectCost,IFERROR(--$H$60,0),
    _xlpm.ownership,$D$60,
    _xlpm.building,$B$10,
    _xlpm.srow,
    _xlfn.SWITCH(
        _xlpm.building,
        'Dev. Notes'!$B$18,ROW('MEA Incentives'!$A$40),
        'Dev. Notes'!$B$19,ROW('MEA Incentives'!$A$48),
        'Dev. Notes'!$B$20,ROW('MEA Incentives'!$A$56),
        'Dev. Notes'!$B$21,ROW('MEA Incentives'!$A$56),
        0
    ),
    _xlpm.rateCol,
    IF(
        _xlpm.ownership='Dev. Notes'!$B$28,
        2,
        IF(
            _xlpm.ownership='Dev. Notes'!$B$29,
            3,
            0
        )
    ),
    _xlpm.rateRow,
    IF(
        _xlpm.srow=0,
        0,
        _xlpm.srow+2
    ),
    _xlpm.capRow,
    IF(
        _xlpm.srow=0,
        0,
        _xlpm.srow+5
    ),
    _xlpm.allowedRate,
    IFERROR(--'Dev. Notes'!$C$42,0),
    _xlpm.allowedPct,
    IF(
        OR(_xlpm.capRow=0,_xlpm.rateCol=0),
        0,
        IFERROR(
            INDEX(
                'MEA Incentives'!$A:$D,
                _xlpm.capRow,
                _xlpm.rateCol
            ),
            0
        )
    ),
    _xlpm.requestedPct,
    IFERROR(
        _xlpm.requestedGrant/_xlpm.projectCost,
        0
    ),
    _xlpm.overRate,
    _xlpm.requestedPerKW&gt;_xlpm.allowedRate,
    _xlpm.overPct,
    _xlpm.requestedPct&gt;_xlpm.allowedPct,
    IF(
        _xlpm.building='Dev. Notes'!$B$17,
        "",
        IF(
            OR(
                $H$10='Dev. Notes'!$B$4,
                $H$10='Dev. Notes'!$B$5
            ),
            "No Solar Canopy PV in this project.",
            IF(
                OR(
                    _xlpm.requestedPerKW&lt;=0,
                    _xlpm.requestedGrant&lt;=0,
                    _xlpm.projectCost&lt;=0,
                    _xlpm.allowedRate&lt;=0,
                    _xlpm.allowedPct&lt;=0
                ),
                "",
                IF(
                    AND(_xlpm.overRate,_xlpm.overPct),
                    "Solar PV Requested Grant Amount exceeds both the MEA rate cap of $"&amp;
                    TEXT(_xlpm.allowedRate,"#,##0")&amp;
                    "/kW and the project cost share cap of "&amp;
                    TEXT(_xlpm.allowedPct,"0%")&amp;".",
                    IF(
                        _xlpm.overRate,
                        "Solar PV Requested Grant Amount of $"&amp;
                        TEXT(_xlpm.requestedPerKW,"#,##0")&amp;
                        "/kW exceeds the MEA rate cap of $"&amp;
                        TEXT(_xlpm.allowedRate,"#,##0")&amp;
                        "/kW.",
                        IF(
                            _xlpm.overPct,
                            "Solar PV Requested Grant Amount represents "&amp;
                            TEXT(_xlpm.requestedPct,"0%")&amp;
                            " of the Solar PV System Total Project Costs and exceeds the project cost share cap of "&amp;
                            TEXT(_xlpm.allowedPct,"0%")&amp;".",
                            "Solar PV Requested Grant Amount is within the MEA rate cap of $"&amp;
                            TEXT(_xlpm.allowedRate,"#,##0")&amp;
                            "/kW and the project cost share cap of "&amp;
                            TEXT(_xlpm.allowedPct,"0%")&amp;"."
                        )
                    )
                )
            )
        )
    )
),
"")</f>
        <v/>
      </c>
      <c r="B67" s="327"/>
      <c r="C67" s="327"/>
      <c r="D67" s="327"/>
      <c r="E67" s="327"/>
      <c r="F67" s="327"/>
      <c r="G67" s="327"/>
      <c r="H67" s="328"/>
      <c r="I67" s="263" t="s">
        <v>229</v>
      </c>
      <c r="J67" s="79" t="str">
        <f>IFERROR(
    IF(
        OR(
            $B$10='Dev. Notes'!$B$17,
            $H$10='Dev. Notes'!$B$4,
            $H$10='Dev. Notes'!$B$5,
            $B$60&lt;=0
        ),
        "",
        'Dev. Notes'!$C$42
    ),
    ""
)</f>
        <v/>
      </c>
    </row>
    <row r="68" spans="1:10" ht="13.5" customHeight="1" x14ac:dyDescent="0.3">
      <c r="A68" s="264"/>
      <c r="B68" s="80"/>
      <c r="C68" s="265"/>
      <c r="D68" s="80"/>
      <c r="E68" s="265"/>
      <c r="F68" s="80"/>
      <c r="G68" s="266"/>
      <c r="H68" s="81"/>
      <c r="I68" s="266"/>
      <c r="J68" s="82"/>
    </row>
    <row r="69" spans="1:10" s="223" customFormat="1" ht="45" customHeight="1" x14ac:dyDescent="0.55000000000000004">
      <c r="A69" s="306" t="s">
        <v>63</v>
      </c>
      <c r="B69" s="307"/>
      <c r="C69" s="307"/>
      <c r="D69" s="307"/>
      <c r="E69" s="307"/>
      <c r="F69" s="307"/>
      <c r="G69" s="307"/>
      <c r="H69" s="307"/>
      <c r="I69" s="307"/>
      <c r="J69" s="308"/>
    </row>
    <row r="70" spans="1:10" ht="34.5" customHeight="1" x14ac:dyDescent="0.3">
      <c r="A70" s="309" t="s">
        <v>139</v>
      </c>
      <c r="B70" s="310"/>
      <c r="C70" s="310"/>
      <c r="D70" s="310"/>
      <c r="E70" s="310"/>
      <c r="F70" s="310"/>
      <c r="G70" s="310"/>
      <c r="H70" s="310"/>
      <c r="I70" s="310"/>
      <c r="J70" s="311"/>
    </row>
    <row r="71" spans="1:10" ht="13.5" customHeight="1" x14ac:dyDescent="0.3">
      <c r="A71" s="209"/>
      <c r="B71" s="182"/>
      <c r="C71" s="183"/>
      <c r="D71" s="64"/>
      <c r="E71" s="183"/>
      <c r="F71" s="182"/>
      <c r="G71" s="182"/>
      <c r="H71" s="182"/>
      <c r="I71" s="183"/>
      <c r="J71" s="65"/>
    </row>
    <row r="72" spans="1:10" ht="120" customHeight="1" x14ac:dyDescent="0.3">
      <c r="A72" s="267" t="s">
        <v>132</v>
      </c>
      <c r="B72" s="53" t="str">
        <f>IF(
    $D$10="",
    "Enter floor area in cell D10",
    IF(
        NOT(ISNUMBER($D$10)),
        "Enter a number in cell D10",
        IF(
            $D$10&lt;=0,
            "Floor area in cell D10 must be &gt; 0",
            IF(
                OR(
                    $B$23="",
                    $D$23="",
                    $F$23="",
                    $H$23="",
                    $J$23="",
                    NOT(ISNUMBER($B$23)),
                    NOT(ISNUMBER($D$23)),
                    NOT(ISNUMBER($F$23)),
                    NOT(ISNUMBER($H$23)),
                    NOT(ISNUMBER($J$23)),
                    $B$23&lt;0,
                    $D$23&lt;0,
                    $F$23&lt;0,
                    $H$23&lt;0,
                    $J$23&lt;0
                ),
                "Check fuel inputs in row 22",
                (
                    ($B$23*'Embedded Values'!$D$37)+
                    ($D$23*'Embedded Values'!$D$38)+
                    ($F$23*'Embedded Values'!$D$39)+
                    ($H$23*'Embedded Values'!$D$40)+
                    ($J$23*'Embedded Values'!$D$41)
                )/$D$10
            )
        )
    )
)</f>
        <v>Enter floor area in cell D10</v>
      </c>
      <c r="C72" s="268" t="s">
        <v>147</v>
      </c>
      <c r="D72" s="53" t="str">
        <f>IF(
    'User Inputs'!$D$10="",
    "Enter floor area in cell D10",
    IF(
        'User Inputs'!$D$10&lt;=0,
        "Floor area in cell D10 must be &gt; 0",
        IFERROR(
            (
                IFERROR('Calculated Metrics'!$B$8*'Embedded Values'!$D$37,0)
                +IFERROR('Calculated Metrics'!$D$8*'Embedded Values'!$D$38,0)
                +IFERROR('Calculated Metrics'!$F$8*'Embedded Values'!$D$39,0)
                +IFERROR('Calculated Metrics'!$H$8*'Embedded Values'!$D$40,0)
                +IFERROR('Calculated Metrics'!$J$8*'Embedded Values'!$D$41,0)
            )
            /'User Inputs'!$D$10,
            ""
        )
    )
)</f>
        <v>Enter floor area in cell D10</v>
      </c>
      <c r="E72" s="268" t="s">
        <v>3</v>
      </c>
      <c r="F72" s="83">
        <f>'Calculated Metrics'!$H$18</f>
        <v>0</v>
      </c>
      <c r="G72" s="268" t="s">
        <v>20</v>
      </c>
      <c r="H72" s="269" t="str">
        <f>'Calculated Metrics'!$J$18</f>
        <v>Fill in Project Costs</v>
      </c>
      <c r="I72" s="270" t="s">
        <v>66</v>
      </c>
      <c r="J72" s="271" t="str">
        <f>'Calculated Metrics'!$F$32</f>
        <v>Select building type in cell B10 of user inputs</v>
      </c>
    </row>
    <row r="73" spans="1:10" ht="13.5" customHeight="1" x14ac:dyDescent="0.3">
      <c r="A73" s="272"/>
      <c r="B73" s="84"/>
      <c r="C73" s="272"/>
      <c r="D73" s="84"/>
      <c r="E73" s="273"/>
      <c r="F73" s="274"/>
      <c r="G73" s="274"/>
      <c r="H73" s="274"/>
      <c r="I73" s="273"/>
      <c r="J73" s="275"/>
    </row>
    <row r="74" spans="1:10" ht="13.5" customHeight="1" x14ac:dyDescent="0.3">
      <c r="A74" s="100"/>
      <c r="B74" s="100"/>
      <c r="C74" s="100"/>
      <c r="D74" s="100"/>
      <c r="E74" s="100"/>
      <c r="F74" s="100"/>
      <c r="G74" s="100"/>
      <c r="H74" s="100"/>
      <c r="I74" s="100"/>
      <c r="J74" s="100"/>
    </row>
    <row r="75" spans="1:10" ht="18" customHeight="1" x14ac:dyDescent="0.3">
      <c r="A75" s="101"/>
      <c r="B75" s="101"/>
      <c r="C75" s="101"/>
      <c r="D75" s="101"/>
      <c r="E75" s="101"/>
      <c r="F75" s="101"/>
      <c r="G75" s="101"/>
      <c r="H75" s="101"/>
      <c r="I75" s="101"/>
      <c r="J75" s="101"/>
    </row>
    <row r="76" spans="1:10" ht="7.5" customHeight="1" x14ac:dyDescent="0.3">
      <c r="A76" s="102"/>
      <c r="B76" s="102"/>
      <c r="C76" s="102"/>
      <c r="D76" s="102"/>
      <c r="E76" s="102"/>
      <c r="F76" s="102"/>
      <c r="G76" s="102"/>
      <c r="H76" s="102"/>
      <c r="I76" s="102"/>
      <c r="J76" s="102"/>
    </row>
    <row r="77" spans="1:10" ht="54.75" customHeight="1" x14ac:dyDescent="0.3">
      <c r="D77" s="276"/>
    </row>
    <row r="80" spans="1:10" ht="69.900000000000006" customHeight="1" x14ac:dyDescent="0.3"/>
  </sheetData>
  <sheetProtection algorithmName="SHA-512" hashValue="85l3BpBm0viIlNXh/1i5TUvt91i4aO1dqoL0J+/5o/kM2AU4YVwU97sBDO0rl5L9OaiwOOvhvKowN+Y5+JWRLA==" saltValue="IM341HPYlb/wtIN73oujAg==" spinCount="100000" sheet="1" objects="1" scenarios="1"/>
  <mergeCells count="8">
    <mergeCell ref="A69:J69"/>
    <mergeCell ref="A70:J70"/>
    <mergeCell ref="A3:J3"/>
    <mergeCell ref="A65:H65"/>
    <mergeCell ref="B17:J17"/>
    <mergeCell ref="A12:A15"/>
    <mergeCell ref="B12:B15"/>
    <mergeCell ref="A67:H67"/>
  </mergeCells>
  <conditionalFormatting sqref="A65">
    <cfRule type="expression" dxfId="168" priority="503">
      <formula>ISNUMBER(SEARCH("exceeds",$A65))</formula>
    </cfRule>
    <cfRule type="expression" dxfId="167" priority="502">
      <formula>ISNUMBER(SEARCH("within",$A65))</formula>
    </cfRule>
  </conditionalFormatting>
  <conditionalFormatting sqref="A34:B34">
    <cfRule type="expression" dxfId="166" priority="249">
      <formula>$F$10&lt;1</formula>
    </cfRule>
  </conditionalFormatting>
  <conditionalFormatting sqref="A52:B52">
    <cfRule type="expression" dxfId="165" priority="155">
      <formula>$F$10&lt;1</formula>
    </cfRule>
  </conditionalFormatting>
  <conditionalFormatting sqref="A45:G45 E52:F52">
    <cfRule type="expression" dxfId="164" priority="21">
      <formula>$F$10&lt;3</formula>
    </cfRule>
  </conditionalFormatting>
  <conditionalFormatting sqref="A45:H45">
    <cfRule type="expression" dxfId="163" priority="97">
      <formula>$F$10&lt;3</formula>
    </cfRule>
  </conditionalFormatting>
  <conditionalFormatting sqref="A67:H67">
    <cfRule type="expression" dxfId="158" priority="6">
      <formula>ISNUMBER(SEARCH("exceeds",$A67))</formula>
    </cfRule>
    <cfRule type="expression" dxfId="157" priority="8">
      <formula>ISNUMBER(SEARCH("within",$A67))</formula>
    </cfRule>
  </conditionalFormatting>
  <conditionalFormatting sqref="A41:I41">
    <cfRule type="expression" dxfId="155" priority="93">
      <formula>$F$10&lt;1</formula>
    </cfRule>
  </conditionalFormatting>
  <conditionalFormatting sqref="A43:I43">
    <cfRule type="expression" dxfId="154" priority="101">
      <formula>$F$10&lt;2</formula>
    </cfRule>
  </conditionalFormatting>
  <conditionalFormatting sqref="A47:I47">
    <cfRule type="expression" dxfId="153" priority="94">
      <formula>$F$10&lt;4</formula>
    </cfRule>
  </conditionalFormatting>
  <conditionalFormatting sqref="A43:J43">
    <cfRule type="expression" dxfId="152" priority="206">
      <formula>$F$10&gt;=2</formula>
    </cfRule>
  </conditionalFormatting>
  <conditionalFormatting sqref="A47:J47 H52">
    <cfRule type="expression" dxfId="151" priority="186">
      <formula>$F$10&gt;=4</formula>
    </cfRule>
    <cfRule type="expression" dxfId="150" priority="187">
      <formula>$F$10&lt;4</formula>
    </cfRule>
  </conditionalFormatting>
  <conditionalFormatting sqref="B8">
    <cfRule type="containsBlanks" dxfId="143" priority="509">
      <formula>LEN(TRIM(B8))=0</formula>
    </cfRule>
  </conditionalFormatting>
  <conditionalFormatting sqref="B10">
    <cfRule type="containsBlanks" dxfId="142" priority="38">
      <formula>LEN(TRIM(B10))=0</formula>
    </cfRule>
  </conditionalFormatting>
  <conditionalFormatting sqref="B12:B15">
    <cfRule type="containsBlanks" dxfId="141" priority="35">
      <formula>LEN(TRIM(B12))=0</formula>
    </cfRule>
  </conditionalFormatting>
  <conditionalFormatting sqref="B17">
    <cfRule type="containsBlanks" dxfId="140" priority="108">
      <formula>LEN(TRIM(B17))=0</formula>
    </cfRule>
  </conditionalFormatting>
  <conditionalFormatting sqref="B23">
    <cfRule type="containsBlanks" dxfId="139" priority="480">
      <formula>LEN(TRIM(B23))=0</formula>
    </cfRule>
  </conditionalFormatting>
  <conditionalFormatting sqref="B34">
    <cfRule type="expression" dxfId="138" priority="368">
      <formula>$F$10&gt;=1</formula>
    </cfRule>
    <cfRule type="expression" dxfId="137" priority="429">
      <formula>OR($B$34="",$B$34="[Select an ECM from the dropdown list]")</formula>
    </cfRule>
  </conditionalFormatting>
  <conditionalFormatting sqref="B41">
    <cfRule type="expression" dxfId="136" priority="212">
      <formula>$F$10&gt;=1</formula>
    </cfRule>
  </conditionalFormatting>
  <conditionalFormatting sqref="B43">
    <cfRule type="expression" dxfId="135" priority="204">
      <formula>$F$10&gt;=2</formula>
    </cfRule>
  </conditionalFormatting>
  <conditionalFormatting sqref="B45">
    <cfRule type="expression" dxfId="134" priority="198">
      <formula>$F$10&gt;=3</formula>
    </cfRule>
  </conditionalFormatting>
  <conditionalFormatting sqref="B47 B43 B45 B41">
    <cfRule type="containsBlanks" dxfId="133" priority="506">
      <formula>LEN(TRIM(B41))=0</formula>
    </cfRule>
  </conditionalFormatting>
  <conditionalFormatting sqref="B47">
    <cfRule type="expression" dxfId="132" priority="185">
      <formula>$F$10&gt;=4</formula>
    </cfRule>
  </conditionalFormatting>
  <conditionalFormatting sqref="B52">
    <cfRule type="expression" dxfId="131" priority="156">
      <formula>$F$10&gt;=1</formula>
    </cfRule>
    <cfRule type="containsBlanks" dxfId="130" priority="157">
      <formula>LEN(TRIM(B52))=0</formula>
    </cfRule>
  </conditionalFormatting>
  <conditionalFormatting sqref="B58 B60">
    <cfRule type="containsBlanks" dxfId="129" priority="86">
      <formula>LEN(TRIM(B58))=0</formula>
    </cfRule>
  </conditionalFormatting>
  <conditionalFormatting sqref="B72">
    <cfRule type="expression" dxfId="128" priority="29">
      <formula>ISTEXT($B$72)</formula>
    </cfRule>
  </conditionalFormatting>
  <conditionalFormatting sqref="C34:D34">
    <cfRule type="expression" dxfId="127" priority="63">
      <formula>$F$10&lt;2</formula>
    </cfRule>
  </conditionalFormatting>
  <conditionalFormatting sqref="C52:D52">
    <cfRule type="expression" dxfId="126" priority="263">
      <formula>$F$10&lt;2</formula>
    </cfRule>
    <cfRule type="expression" dxfId="125" priority="154">
      <formula>$F$10&gt;=2</formula>
    </cfRule>
  </conditionalFormatting>
  <conditionalFormatting sqref="D8">
    <cfRule type="containsBlanks" dxfId="124" priority="39">
      <formula>LEN(TRIM(D8))=0</formula>
    </cfRule>
  </conditionalFormatting>
  <conditionalFormatting sqref="D10">
    <cfRule type="containsBlanks" dxfId="123" priority="37">
      <formula>LEN(TRIM(D10))=0</formula>
    </cfRule>
  </conditionalFormatting>
  <conditionalFormatting sqref="D23">
    <cfRule type="containsBlanks" dxfId="122" priority="508">
      <formula>LEN(TRIM(D23))=0</formula>
    </cfRule>
  </conditionalFormatting>
  <conditionalFormatting sqref="D34">
    <cfRule type="expression" dxfId="121" priority="436">
      <formula>OR($D$34="",$D$34="[Select an ECM from the dropdown list]")</formula>
    </cfRule>
    <cfRule type="expression" dxfId="120" priority="248">
      <formula>$F$10&gt;=2</formula>
    </cfRule>
  </conditionalFormatting>
  <conditionalFormatting sqref="D41">
    <cfRule type="containsBlanks" dxfId="119" priority="485">
      <formula>LEN(TRIM(D41))=0</formula>
    </cfRule>
    <cfRule type="expression" dxfId="118" priority="211">
      <formula>$F$10&gt;=1</formula>
    </cfRule>
  </conditionalFormatting>
  <conditionalFormatting sqref="D43">
    <cfRule type="containsBlanks" dxfId="117" priority="367">
      <formula>LEN(TRIM(D43))=0</formula>
    </cfRule>
    <cfRule type="expression" dxfId="116" priority="203">
      <formula>$F$10&gt;=2</formula>
    </cfRule>
  </conditionalFormatting>
  <conditionalFormatting sqref="D45">
    <cfRule type="expression" dxfId="115" priority="196">
      <formula>$F$10&gt;=3</formula>
    </cfRule>
    <cfRule type="containsBlanks" dxfId="114" priority="197">
      <formula>LEN(TRIM(D45))=0</formula>
    </cfRule>
  </conditionalFormatting>
  <conditionalFormatting sqref="D47">
    <cfRule type="containsBlanks" dxfId="113" priority="291">
      <formula>LEN(TRIM(D47))=0</formula>
    </cfRule>
    <cfRule type="expression" dxfId="112" priority="183">
      <formula>$F$10&gt;=4</formula>
    </cfRule>
  </conditionalFormatting>
  <conditionalFormatting sqref="D52">
    <cfRule type="containsBlanks" dxfId="111" priority="513">
      <formula>LEN(TRIM(D52))=0</formula>
    </cfRule>
    <cfRule type="expression" dxfId="110" priority="34">
      <formula>$F$10&gt;=2</formula>
    </cfRule>
    <cfRule type="expression" dxfId="109" priority="175">
      <formula>$F$10&gt;=2</formula>
    </cfRule>
  </conditionalFormatting>
  <conditionalFormatting sqref="D58 D60">
    <cfRule type="containsBlanks" dxfId="108" priority="84">
      <formula>LEN(TRIM(D58))=0</formula>
    </cfRule>
  </conditionalFormatting>
  <conditionalFormatting sqref="D72">
    <cfRule type="expression" dxfId="107" priority="28">
      <formula>ISTEXT($D$72)</formula>
    </cfRule>
  </conditionalFormatting>
  <conditionalFormatting sqref="E34:F34">
    <cfRule type="expression" dxfId="106" priority="62">
      <formula>$F$10&lt;3</formula>
    </cfRule>
  </conditionalFormatting>
  <conditionalFormatting sqref="F8 F10">
    <cfRule type="containsBlanks" dxfId="105" priority="510">
      <formula>LEN(TRIM(F8))=0</formula>
    </cfRule>
  </conditionalFormatting>
  <conditionalFormatting sqref="F23">
    <cfRule type="containsBlanks" dxfId="104" priority="482">
      <formula>LEN(TRIM(F23))=0</formula>
    </cfRule>
  </conditionalFormatting>
  <conditionalFormatting sqref="F34">
    <cfRule type="expression" dxfId="103" priority="112">
      <formula>OR($F$34="",$F$34="[Select an ECM from the dropdown list]")</formula>
    </cfRule>
    <cfRule type="expression" dxfId="102" priority="111">
      <formula>$F$10&gt;=3</formula>
    </cfRule>
  </conditionalFormatting>
  <conditionalFormatting sqref="F41">
    <cfRule type="expression" dxfId="101" priority="210">
      <formula>$F$10&gt;=1</formula>
    </cfRule>
    <cfRule type="containsBlanks" dxfId="100" priority="486">
      <formula>LEN(TRIM(F41))=0</formula>
    </cfRule>
  </conditionalFormatting>
  <conditionalFormatting sqref="F43">
    <cfRule type="expression" dxfId="99" priority="200">
      <formula>$F$10&gt;=2</formula>
    </cfRule>
    <cfRule type="containsBlanks" dxfId="98" priority="213">
      <formula>LEN(TRIM(F43))=0</formula>
    </cfRule>
  </conditionalFormatting>
  <conditionalFormatting sqref="F45">
    <cfRule type="expression" dxfId="97" priority="193">
      <formula>$F$10&gt;=3</formula>
    </cfRule>
    <cfRule type="containsBlanks" dxfId="96" priority="194">
      <formula>LEN(TRIM(F45))=0</formula>
    </cfRule>
  </conditionalFormatting>
  <conditionalFormatting sqref="F47">
    <cfRule type="containsBlanks" dxfId="95" priority="290">
      <formula>LEN(TRIM(F47))=0</formula>
    </cfRule>
    <cfRule type="expression" dxfId="94" priority="182">
      <formula>$F$10&gt;=4</formula>
    </cfRule>
  </conditionalFormatting>
  <conditionalFormatting sqref="F52">
    <cfRule type="expression" dxfId="93" priority="44">
      <formula>$F$10&gt;=3</formula>
    </cfRule>
    <cfRule type="containsBlanks" dxfId="92" priority="33">
      <formula>LEN(TRIM(F52))=0</formula>
    </cfRule>
    <cfRule type="containsBlanks" dxfId="91" priority="476">
      <formula>LEN(TRIM(F52))=0</formula>
    </cfRule>
  </conditionalFormatting>
  <conditionalFormatting sqref="F58 F60">
    <cfRule type="containsBlanks" dxfId="90" priority="83">
      <formula>LEN(TRIM(F58))=0</formula>
    </cfRule>
  </conditionalFormatting>
  <conditionalFormatting sqref="F72">
    <cfRule type="expression" dxfId="89" priority="26">
      <formula>ISTEXT($F$72)</formula>
    </cfRule>
  </conditionalFormatting>
  <conditionalFormatting sqref="G52">
    <cfRule type="expression" dxfId="88" priority="163">
      <formula>$F$10&gt;=4</formula>
    </cfRule>
    <cfRule type="expression" dxfId="87" priority="164">
      <formula>$F$10&lt;4</formula>
    </cfRule>
  </conditionalFormatting>
  <conditionalFormatting sqref="G34:H34 A47:G47 I47">
    <cfRule type="expression" dxfId="86" priority="110">
      <formula>$F$10&lt;4</formula>
    </cfRule>
  </conditionalFormatting>
  <conditionalFormatting sqref="H8">
    <cfRule type="containsBlanks" dxfId="85" priority="152">
      <formula>LEN(TRIM(H8))=0</formula>
    </cfRule>
  </conditionalFormatting>
  <conditionalFormatting sqref="H10">
    <cfRule type="containsBlanks" dxfId="84" priority="36">
      <formula>LEN(TRIM(H10))=0</formula>
    </cfRule>
  </conditionalFormatting>
  <conditionalFormatting sqref="H23">
    <cfRule type="containsBlanks" dxfId="83" priority="151">
      <formula>LEN(TRIM(H23))=0</formula>
    </cfRule>
  </conditionalFormatting>
  <conditionalFormatting sqref="H34">
    <cfRule type="expression" dxfId="82" priority="208">
      <formula>OR($H$34="",$H$34="[Select an ECM from the dropdown list]")</formula>
    </cfRule>
    <cfRule type="expression" dxfId="81" priority="109">
      <formula>$F$10&gt;=4</formula>
    </cfRule>
  </conditionalFormatting>
  <conditionalFormatting sqref="H41">
    <cfRule type="expression" dxfId="80" priority="102">
      <formula>$F$10&gt;=1</formula>
    </cfRule>
  </conditionalFormatting>
  <conditionalFormatting sqref="H43 H41">
    <cfRule type="containsBlanks" dxfId="79" priority="103">
      <formula>LEN(TRIM(H41))=0</formula>
    </cfRule>
  </conditionalFormatting>
  <conditionalFormatting sqref="H43">
    <cfRule type="expression" dxfId="78" priority="100">
      <formula>$F$10&gt;=2</formula>
    </cfRule>
    <cfRule type="containsBlanks" dxfId="77" priority="514">
      <formula>LEN(TRIM(H43))=0</formula>
    </cfRule>
  </conditionalFormatting>
  <conditionalFormatting sqref="H45">
    <cfRule type="expression" dxfId="76" priority="98">
      <formula>$F$10&gt;=3</formula>
    </cfRule>
    <cfRule type="containsBlanks" dxfId="75" priority="99">
      <formula>LEN(TRIM(H45))=0</formula>
    </cfRule>
  </conditionalFormatting>
  <conditionalFormatting sqref="H47">
    <cfRule type="containsBlanks" dxfId="74" priority="96">
      <formula>LEN(TRIM(H47))=0</formula>
    </cfRule>
    <cfRule type="expression" dxfId="73" priority="95">
      <formula>$F$10&gt;=4</formula>
    </cfRule>
  </conditionalFormatting>
  <conditionalFormatting sqref="H52">
    <cfRule type="expression" dxfId="72" priority="43">
      <formula>$F$10&lt;4</formula>
    </cfRule>
    <cfRule type="expression" dxfId="71" priority="173">
      <formula>$F$10&gt;=4</formula>
    </cfRule>
    <cfRule type="expression" dxfId="70" priority="32">
      <formula>OR($F$10="",$F$10=0)</formula>
    </cfRule>
    <cfRule type="containsBlanks" dxfId="69" priority="167">
      <formula>LEN(TRIM(H52))=0</formula>
    </cfRule>
  </conditionalFormatting>
  <conditionalFormatting sqref="H58 H60">
    <cfRule type="containsBlanks" dxfId="68" priority="65">
      <formula>LEN(TRIM(H58))=0</formula>
    </cfRule>
  </conditionalFormatting>
  <conditionalFormatting sqref="H72">
    <cfRule type="expression" dxfId="67" priority="25">
      <formula>ISTEXT($H$72)</formula>
    </cfRule>
  </conditionalFormatting>
  <conditionalFormatting sqref="I45">
    <cfRule type="expression" dxfId="66" priority="153">
      <formula>$F$10&lt;3</formula>
    </cfRule>
  </conditionalFormatting>
  <conditionalFormatting sqref="I34:J34">
    <cfRule type="expression" dxfId="65" priority="48">
      <formula>OR($F$10="",$F$10&gt;0)</formula>
    </cfRule>
  </conditionalFormatting>
  <conditionalFormatting sqref="J8">
    <cfRule type="containsBlanks" dxfId="60" priority="478">
      <formula>LEN(TRIM(J8))=0</formula>
    </cfRule>
  </conditionalFormatting>
  <conditionalFormatting sqref="J23">
    <cfRule type="containsBlanks" dxfId="59" priority="483">
      <formula>LEN(TRIM(J23))=0</formula>
    </cfRule>
  </conditionalFormatting>
  <conditionalFormatting sqref="J41">
    <cfRule type="expression" dxfId="57" priority="160">
      <formula>$F$10&lt;1</formula>
    </cfRule>
    <cfRule type="expression" dxfId="56" priority="209">
      <formula>$F$10&gt;=1</formula>
    </cfRule>
  </conditionalFormatting>
  <conditionalFormatting sqref="J43 J41">
    <cfRule type="containsBlanks" dxfId="55" priority="487">
      <formula>LEN(TRIM(J41))=0</formula>
    </cfRule>
  </conditionalFormatting>
  <conditionalFormatting sqref="J43">
    <cfRule type="expression" dxfId="54" priority="199">
      <formula>$F$10&gt;=2</formula>
    </cfRule>
    <cfRule type="expression" dxfId="53" priority="207">
      <formula>$F$10&lt;2</formula>
    </cfRule>
    <cfRule type="containsBlanks" dxfId="52" priority="515">
      <formula>LEN(TRIM(J43))=0</formula>
    </cfRule>
  </conditionalFormatting>
  <conditionalFormatting sqref="J45">
    <cfRule type="expression" dxfId="51" priority="188">
      <formula>$F$10&lt;3</formula>
    </cfRule>
    <cfRule type="containsBlanks" dxfId="50" priority="190">
      <formula>LEN(TRIM(J45))=0</formula>
    </cfRule>
    <cfRule type="expression" dxfId="49" priority="189">
      <formula>$F$10&gt;=3</formula>
    </cfRule>
  </conditionalFormatting>
  <conditionalFormatting sqref="J47">
    <cfRule type="containsBlanks" dxfId="48" priority="491">
      <formula>LEN(TRIM(J47))=0</formula>
    </cfRule>
    <cfRule type="containsBlanks" dxfId="47" priority="179">
      <formula>LEN(TRIM(J47))=0</formula>
    </cfRule>
    <cfRule type="expression" dxfId="46" priority="177">
      <formula>$F$10&lt;4</formula>
    </cfRule>
    <cfRule type="expression" dxfId="45" priority="178">
      <formula>$F$10&gt;=4</formula>
    </cfRule>
  </conditionalFormatting>
  <conditionalFormatting sqref="J58">
    <cfRule type="containsBlanks" dxfId="44" priority="20">
      <formula>LEN(TRIM(J58))=0</formula>
    </cfRule>
  </conditionalFormatting>
  <conditionalFormatting sqref="J60">
    <cfRule type="containsBlanks" dxfId="43" priority="19">
      <formula>LEN(TRIM(J60))=0</formula>
    </cfRule>
  </conditionalFormatting>
  <conditionalFormatting sqref="J65">
    <cfRule type="expression" dxfId="42" priority="223">
      <formula>ISNUMBER(SEARCH("within",$A65))</formula>
    </cfRule>
    <cfRule type="expression" dxfId="41" priority="169">
      <formula>ISNUMBER(SEARCH("exceeds",$A65))</formula>
    </cfRule>
  </conditionalFormatting>
  <conditionalFormatting sqref="J67">
    <cfRule type="expression" dxfId="40" priority="3">
      <formula>ISNUMBER(SEARCH("exceeds",$A67))</formula>
    </cfRule>
    <cfRule type="expression" dxfId="39" priority="7">
      <formula>ISNUMBER(SEARCH("within",$A67))</formula>
    </cfRule>
  </conditionalFormatting>
  <conditionalFormatting sqref="J72">
    <cfRule type="expression" dxfId="38" priority="24">
      <formula>ISTEXT($J$72)</formula>
    </cfRule>
  </conditionalFormatting>
  <dataValidations count="2">
    <dataValidation type="list" errorStyle="warning" showInputMessage="1" sqref="B12" xr:uid="{0C045427-8A1C-48BC-A607-4E71E6D7ED01}">
      <formula1>"No,Yes"</formula1>
    </dataValidation>
    <dataValidation type="textLength" operator="lessThanOrEqual" allowBlank="1" showInputMessage="1" showErrorMessage="1" errorTitle="250 Character Limit" error="Please limit the project description to 250 characters." sqref="B17:J17" xr:uid="{1FB964A5-BC7F-4F1C-9DFB-6B2E4AE17075}">
      <formula1>250</formula1>
    </dataValidation>
  </dataValidations>
  <hyperlinks>
    <hyperlink ref="C12" r:id="rId1" display="  Click here to check if your building is covered by State BEPS here" xr:uid="{DCF64DF5-AAC9-4B4C-816E-FC801A1AD42D}"/>
    <hyperlink ref="C13" r:id="rId2" display="  Check if your building is covered by Montgomery County BEPS here" xr:uid="{12C0F93D-F4EB-44C8-9755-0FEE4F162BB9}"/>
    <hyperlink ref="C15" r:id="rId3" display="Click here to check if your K-12 Public School is located in an Overburdened Census Tract" xr:uid="{3FF05D04-224C-4FF7-A883-1C601E54CCB7}"/>
    <hyperlink ref="C14" r:id="rId4" xr:uid="{F407A92F-6858-446A-BF55-19E24EB6B55F}"/>
  </hyperlinks>
  <pageMargins left="0.7" right="0.7" top="0.75" bottom="0.75" header="0.3" footer="0.3"/>
  <pageSetup orientation="portrait" r:id="rId5"/>
  <drawing r:id="rId6"/>
  <legacyDrawing r:id="rId7"/>
  <extLst>
    <ext xmlns:x14="http://schemas.microsoft.com/office/spreadsheetml/2009/9/main" uri="{78C0D931-6437-407d-A8EE-F0AAD7539E65}">
      <x14:conditionalFormattings>
        <x14:conditionalFormatting xmlns:xm="http://schemas.microsoft.com/office/excel/2006/main">
          <x14:cfRule type="expression" priority="18" id="{BF168719-F883-45C7-8E83-2D2944D96D67}">
            <xm:f>OR(     $H$10='Dev. Notes'!$B$4,     $H$10='Dev. Notes'!$B$6,     $B$10='Dev. Notes'!$B$17 )</xm:f>
            <x14:dxf>
              <font>
                <color rgb="FFF0F9FA"/>
              </font>
              <fill>
                <patternFill>
                  <bgColor rgb="FFF0F9FA"/>
                </patternFill>
              </fill>
              <border>
                <right/>
                <bottom/>
                <vertical/>
                <horizontal/>
              </border>
            </x14:dxf>
          </x14:cfRule>
          <xm:sqref>A58:H58</xm:sqref>
        </x14:conditionalFormatting>
        <x14:conditionalFormatting xmlns:xm="http://schemas.microsoft.com/office/excel/2006/main">
          <x14:cfRule type="expression" priority="14" id="{089B09DD-C012-42AC-8BEF-D6C065981DAC}">
            <xm:f>OR(     $H$10='Dev. Notes'!$B$4,     $H$10='Dev. Notes'!$B$5,     $B$10='Dev. Notes'!$B$17 )</xm:f>
            <x14:dxf>
              <font>
                <color rgb="FFF0F9FA"/>
              </font>
              <fill>
                <patternFill>
                  <bgColor rgb="FFF0F9FA"/>
                </patternFill>
              </fill>
              <border>
                <right/>
                <bottom/>
                <vertical/>
                <horizontal/>
              </border>
            </x14:dxf>
          </x14:cfRule>
          <xm:sqref>A60:H60</xm:sqref>
        </x14:conditionalFormatting>
        <x14:conditionalFormatting xmlns:xm="http://schemas.microsoft.com/office/excel/2006/main">
          <x14:cfRule type="expression" priority="10" id="{A0A736A4-C218-4CAA-9577-8C673A29A8E5}">
            <xm:f>OR(     $H$10='Dev. Notes'!$B$4,     $H$10='Dev. Notes'!$B$6,     $B$10='Dev. Notes'!$B$17)</xm:f>
            <x14:dxf>
              <font>
                <color rgb="FFF0F9FA"/>
              </font>
              <fill>
                <patternFill>
                  <bgColor rgb="FFF0F9FA"/>
                </patternFill>
              </fill>
              <border>
                <right/>
                <bottom/>
                <vertical/>
                <horizontal/>
              </border>
            </x14:dxf>
          </x14:cfRule>
          <xm:sqref>A65:H65</xm:sqref>
        </x14:conditionalFormatting>
        <x14:conditionalFormatting xmlns:xm="http://schemas.microsoft.com/office/excel/2006/main">
          <x14:cfRule type="expression" priority="4" id="{2338956F-0D0B-4AE7-A4FF-43541097021D}">
            <xm:f>OR(     $H$10='Dev. Notes'!$B$4,     $H$10='Dev. Notes'!$B$5,     $B$10='Dev. Notes'!$B$17 )</xm:f>
            <x14:dxf>
              <font>
                <color rgb="FFF0F9FA"/>
              </font>
              <fill>
                <patternFill>
                  <bgColor rgb="FFF0F9FA"/>
                </patternFill>
              </fill>
              <border>
                <right/>
                <vertical/>
                <horizontal/>
              </border>
            </x14:dxf>
          </x14:cfRule>
          <xm:sqref>A67:H67</xm:sqref>
        </x14:conditionalFormatting>
        <x14:conditionalFormatting xmlns:xm="http://schemas.microsoft.com/office/excel/2006/main">
          <x14:cfRule type="expression" priority="511" id="{C090708B-1E4D-40A8-A381-DCB129B18FB6}">
            <xm:f>#REF!='Dev. Notes'!$B$7</xm:f>
            <x14:dxf>
              <font>
                <color rgb="FFF0F9FA"/>
              </font>
              <fill>
                <patternFill>
                  <bgColor rgb="FFF0F9FA"/>
                </patternFill>
              </fill>
              <border>
                <right/>
                <bottom/>
                <vertical/>
                <horizontal/>
              </border>
            </x14:dxf>
          </x14:cfRule>
          <xm:sqref>A28:I28</xm:sqref>
        </x14:conditionalFormatting>
        <x14:conditionalFormatting xmlns:xm="http://schemas.microsoft.com/office/excel/2006/main">
          <x14:cfRule type="expression" priority="16" id="{2589A972-3718-4349-85A3-F2307F47B9B0}">
            <xm:f>OR(     $H$10='Dev. Notes'!$B$4,     $H$10='Dev. Notes'!$B$6,     $B$10='Dev. Notes'!$B$17 )</xm:f>
            <x14:dxf>
              <font>
                <color rgb="FFF0F9FA"/>
              </font>
              <fill>
                <patternFill>
                  <bgColor rgb="FFF0F9FA"/>
                </patternFill>
              </fill>
              <border>
                <bottom/>
                <vertical/>
                <horizontal/>
              </border>
            </x14:dxf>
          </x14:cfRule>
          <xm:sqref>A57:J57</xm:sqref>
        </x14:conditionalFormatting>
        <x14:conditionalFormatting xmlns:xm="http://schemas.microsoft.com/office/excel/2006/main">
          <x14:cfRule type="expression" priority="2" id="{4B2D22E5-029D-4BD7-A2F8-8288215D1C9D}">
            <xm:f>OR(     $H$10='Dev. Notes'!$B$4,     $B$10='Dev. Notes'!$B$17 )</xm:f>
            <x14:dxf>
              <font>
                <color rgb="FF004064"/>
              </font>
              <fill>
                <patternFill>
                  <bgColor rgb="FFF0F9FA"/>
                </patternFill>
              </fill>
              <border>
                <bottom/>
                <vertical/>
                <horizontal/>
              </border>
            </x14:dxf>
          </x14:cfRule>
          <x14:cfRule type="expression" priority="15" id="{502FD5F8-A91F-4CF5-B00A-596D352FB6FC}">
            <xm:f>OR(     $H$10='Dev. Notes'!$B$4,     $H$10='Dev. Notes'!$B$5,     $B$10='Dev. Notes'!$B$17 )</xm:f>
            <x14:dxf>
              <font>
                <color rgb="FFF0F9FA"/>
              </font>
              <fill>
                <patternFill>
                  <bgColor rgb="FFF0F9FA"/>
                </patternFill>
              </fill>
              <border>
                <bottom/>
                <vertical/>
                <horizontal/>
              </border>
            </x14:dxf>
          </x14:cfRule>
          <xm:sqref>A59:J59</xm:sqref>
        </x14:conditionalFormatting>
        <x14:conditionalFormatting xmlns:xm="http://schemas.microsoft.com/office/excel/2006/main">
          <x14:cfRule type="expression" priority="12" id="{EC59DD70-EB49-4B99-82C5-1420A846D39F}">
            <xm:f>OR(     $H$10='Dev. Notes'!$B$4,     $H$10='Dev. Notes'!$B$6,     $B$10='Dev. Notes'!$B$17 )</xm:f>
            <x14:dxf>
              <font>
                <color rgb="FFF0F9FA"/>
              </font>
              <fill>
                <patternFill>
                  <bgColor rgb="FFF0F9FA"/>
                </patternFill>
              </fill>
              <border>
                <bottom/>
                <vertical/>
                <horizontal/>
              </border>
            </x14:dxf>
          </x14:cfRule>
          <xm:sqref>A64:J64</xm:sqref>
        </x14:conditionalFormatting>
        <x14:conditionalFormatting xmlns:xm="http://schemas.microsoft.com/office/excel/2006/main">
          <x14:cfRule type="expression" priority="1" id="{AB8CCE99-C1DC-45AE-B07F-6515756BB3EB}">
            <xm:f>OR(     $H$10='Dev. Notes'!$B$4,     $B$10='Dev. Notes'!$B$17 )</xm:f>
            <x14:dxf>
              <font>
                <color rgb="FF004064"/>
              </font>
              <fill>
                <patternFill>
                  <bgColor rgb="FFF0F9FA"/>
                </patternFill>
              </fill>
              <border>
                <bottom/>
                <vertical/>
                <horizontal/>
              </border>
            </x14:dxf>
          </x14:cfRule>
          <x14:cfRule type="expression" priority="11" id="{72B16A65-68C6-4E4F-B485-6358888D49BC}">
            <xm:f>OR(     $H$10='Dev. Notes'!$B$4,     $H$10='Dev. Notes'!$B$5,     $B$10='Dev. Notes'!$B$17 )</xm:f>
            <x14:dxf>
              <font>
                <color rgb="FFF0F9FA"/>
              </font>
              <fill>
                <patternFill>
                  <bgColor rgb="FFF0F9FA"/>
                </patternFill>
              </fill>
              <border>
                <bottom/>
                <vertical/>
                <horizontal/>
              </border>
            </x14:dxf>
          </x14:cfRule>
          <xm:sqref>A66:J66</xm:sqref>
        </x14:conditionalFormatting>
        <x14:conditionalFormatting xmlns:xm="http://schemas.microsoft.com/office/excel/2006/main">
          <x14:cfRule type="expression" priority="17" id="{31CED10E-E18D-4BB1-9C9F-26CDE25D76A5}">
            <xm:f>OR(     $H$10='Dev. Notes'!$B$4,     $H$10='Dev. Notes'!$B$6,     $B$10='Dev. Notes'!$B$17 )</xm:f>
            <x14:dxf>
              <font>
                <color rgb="FFF0F9FA"/>
              </font>
              <fill>
                <patternFill>
                  <bgColor rgb="FFF0F9FA"/>
                </patternFill>
              </fill>
              <border>
                <bottom/>
              </border>
            </x14:dxf>
          </x14:cfRule>
          <xm:sqref>I58:J58</xm:sqref>
        </x14:conditionalFormatting>
        <x14:conditionalFormatting xmlns:xm="http://schemas.microsoft.com/office/excel/2006/main">
          <x14:cfRule type="expression" priority="13" id="{FC5FA2FB-38BD-4C44-8183-667BF4938774}">
            <xm:f>OR(     $H$10='Dev. Notes'!$B$4,     $H$10='Dev. Notes'!$B$5,     $B$10='Dev. Notes'!$B$17 )</xm:f>
            <x14:dxf>
              <font>
                <color rgb="FFF0F9FA"/>
              </font>
              <fill>
                <patternFill>
                  <bgColor rgb="FFF0F9FA"/>
                </patternFill>
              </fill>
              <border>
                <bottom/>
                <vertical/>
                <horizontal/>
              </border>
            </x14:dxf>
          </x14:cfRule>
          <xm:sqref>I60:J60</xm:sqref>
        </x14:conditionalFormatting>
        <x14:conditionalFormatting xmlns:xm="http://schemas.microsoft.com/office/excel/2006/main">
          <x14:cfRule type="expression" priority="9" id="{E759FFF0-94D1-4747-B9FB-A7DB7821DC19}">
            <xm:f>OR(     $H$10='Dev. Notes'!$B$4,     $H$10='Dev. Notes'!$B$6,     $B$10='Dev. Notes'!$B$17 )</xm:f>
            <x14:dxf>
              <font>
                <color rgb="FFF0F9FA"/>
              </font>
              <fill>
                <patternFill>
                  <bgColor rgb="FFF0F9FA"/>
                </patternFill>
              </fill>
              <border>
                <bottom/>
                <vertical/>
                <horizontal/>
              </border>
            </x14:dxf>
          </x14:cfRule>
          <xm:sqref>I65:J65</xm:sqref>
        </x14:conditionalFormatting>
        <x14:conditionalFormatting xmlns:xm="http://schemas.microsoft.com/office/excel/2006/main">
          <x14:cfRule type="expression" priority="5" id="{D7083E4C-47AB-4ECD-BE20-53ECFE07D8C9}">
            <xm:f>OR(     $H$10='Dev. Notes'!$B$4,     $H$10='Dev. Notes'!$B$5,     $B$10='Dev. Notes'!$B$17 )</xm:f>
            <x14:dxf>
              <font>
                <color rgb="FFF0F9FA"/>
              </font>
              <fill>
                <patternFill>
                  <bgColor rgb="FFF0F9FA"/>
                </patternFill>
              </fill>
              <border>
                <vertical/>
                <horizontal/>
              </border>
            </x14:dxf>
          </x14:cfRule>
          <xm:sqref>I67:J67</xm:sqref>
        </x14:conditionalFormatting>
        <x14:conditionalFormatting xmlns:xm="http://schemas.microsoft.com/office/excel/2006/main">
          <x14:cfRule type="expression" priority="512" id="{E854EE4B-6AF0-41E8-A9C2-CD750267A298}">
            <xm:f>#REF!='Dev. Notes'!$B$7</xm:f>
            <x14:dxf>
              <font>
                <color rgb="FFF0F9FA"/>
              </font>
              <fill>
                <patternFill>
                  <bgColor rgb="FFF0F9FA"/>
                </patternFill>
              </fill>
              <border>
                <bottom/>
                <vertical/>
                <horizontal/>
              </border>
            </x14:dxf>
          </x14:cfRule>
          <xm:sqref>J28</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DA77679B-7DA2-4C1A-9636-9EB0678089CC}">
          <x14:formula1>
            <xm:f>'Dev. Notes'!$B$10:$B$14</xm:f>
          </x14:formula1>
          <xm:sqref>F10</xm:sqref>
        </x14:dataValidation>
        <x14:dataValidation type="list" errorStyle="warning" showInputMessage="1" xr:uid="{B7B200C4-08A5-4E4A-8DB3-3AAABC619677}">
          <x14:formula1>
            <xm:f>'Dev. Notes'!$B$17:$B$21</xm:f>
          </x14:formula1>
          <xm:sqref>B10</xm:sqref>
        </x14:dataValidation>
        <x14:dataValidation type="list" allowBlank="1" showInputMessage="1" showErrorMessage="1" xr:uid="{4DA93BA1-4EB9-4817-9D85-B2F0B9AAECF6}">
          <x14:formula1>
            <xm:f>'Embedded Values'!$B$21:$B$32</xm:f>
          </x14:formula1>
          <xm:sqref>F34:H34 B34 D34</xm:sqref>
        </x14:dataValidation>
        <x14:dataValidation type="list" errorStyle="warning" showInputMessage="1" xr:uid="{9B9DE9A7-AC3B-4836-93DE-62EF95980A32}">
          <x14:formula1>
            <xm:f>'Dev. Notes'!$B$4:$B$7</xm:f>
          </x14:formula1>
          <xm:sqref>H10</xm:sqref>
        </x14:dataValidation>
        <x14:dataValidation type="list" allowBlank="1" showInputMessage="1" showErrorMessage="1" xr:uid="{F5C8B679-7F78-4180-8557-3D9A6D5EE755}">
          <x14:formula1>
            <xm:f>'Dev. Notes'!$B$28:$B$29</xm:f>
          </x14:formula1>
          <xm:sqref>D58 D60 D60 D58</xm:sqref>
        </x14:dataValidation>
        <x14:dataValidation type="list" allowBlank="1" showInputMessage="1" showErrorMessage="1" xr:uid="{52634811-DA0D-4B77-8B69-3EC294D8F464}">
          <x14:formula1>
            <xm:f>'Dev. Notes'!$B$55:$B$78</xm:f>
          </x14:formula1>
          <xm:sqref>F8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3BF-A48F-4F80-B5E6-F8CA458BB85C}">
  <sheetPr>
    <tabColor rgb="FFFFC000"/>
  </sheetPr>
  <dimension ref="A1:L43"/>
  <sheetViews>
    <sheetView showGridLines="0" zoomScale="70" zoomScaleNormal="70" workbookViewId="0">
      <selection activeCell="G2" sqref="G2"/>
    </sheetView>
  </sheetViews>
  <sheetFormatPr defaultColWidth="8.77734375" defaultRowHeight="13.2" x14ac:dyDescent="0.25"/>
  <cols>
    <col min="1" max="2" width="42.44140625" customWidth="1"/>
    <col min="3" max="6" width="35.6640625" customWidth="1"/>
  </cols>
  <sheetData>
    <row r="1" spans="1:12" ht="14.25" customHeight="1" x14ac:dyDescent="0.25">
      <c r="A1" s="85"/>
      <c r="B1" s="171"/>
      <c r="C1" s="171"/>
      <c r="D1" s="171"/>
      <c r="E1" s="171"/>
      <c r="F1" s="86"/>
    </row>
    <row r="2" spans="1:12" ht="166.5" customHeight="1" x14ac:dyDescent="0.25">
      <c r="A2" s="87"/>
      <c r="B2" s="277"/>
      <c r="C2" s="277"/>
      <c r="D2" s="277"/>
      <c r="E2" s="277"/>
      <c r="F2" s="88"/>
    </row>
    <row r="3" spans="1:12" s="89" customFormat="1" ht="39.75" customHeight="1" x14ac:dyDescent="0.3">
      <c r="A3" s="301" t="s">
        <v>154</v>
      </c>
      <c r="B3" s="331"/>
      <c r="C3" s="331"/>
      <c r="D3" s="331"/>
      <c r="E3" s="331"/>
      <c r="F3" s="302"/>
      <c r="G3"/>
      <c r="H3"/>
      <c r="I3"/>
      <c r="J3"/>
      <c r="K3"/>
      <c r="L3"/>
    </row>
    <row r="4" spans="1:12" s="278" customFormat="1" ht="43.5" customHeight="1" x14ac:dyDescent="0.25">
      <c r="A4" s="332" t="s">
        <v>155</v>
      </c>
      <c r="B4" s="333"/>
      <c r="C4" s="333"/>
      <c r="D4" s="333"/>
      <c r="E4" s="333"/>
      <c r="F4" s="334"/>
    </row>
    <row r="5" spans="1:12" s="29" customFormat="1" ht="13.5" customHeight="1" x14ac:dyDescent="0.3">
      <c r="A5" s="90"/>
      <c r="B5" s="90"/>
      <c r="C5" s="90"/>
      <c r="D5" s="90"/>
      <c r="E5" s="90"/>
      <c r="F5" s="91"/>
      <c r="G5"/>
      <c r="H5"/>
      <c r="I5"/>
      <c r="J5"/>
      <c r="K5"/>
      <c r="L5"/>
    </row>
    <row r="6" spans="1:12" ht="44.1" customHeight="1" x14ac:dyDescent="0.25">
      <c r="A6" s="279" t="s">
        <v>121</v>
      </c>
      <c r="B6" s="280" t="str">
        <f>IF('User Inputs'!$B$8="","",'User Inputs'!$B$8)</f>
        <v/>
      </c>
      <c r="C6" s="281" t="s">
        <v>122</v>
      </c>
      <c r="D6" s="342" t="str">
        <f>IFERROR(IF('User Inputs'!$B$17="","",'User Inputs'!$B$17),"")</f>
        <v/>
      </c>
      <c r="E6" s="343"/>
      <c r="F6" s="344"/>
    </row>
    <row r="7" spans="1:12" s="29" customFormat="1" ht="13.5" customHeight="1" x14ac:dyDescent="0.3">
      <c r="A7" s="90"/>
      <c r="B7" s="90"/>
      <c r="C7" s="90"/>
      <c r="D7" s="90"/>
      <c r="E7" s="90"/>
      <c r="F7" s="91"/>
      <c r="G7"/>
      <c r="H7"/>
      <c r="I7"/>
      <c r="J7"/>
      <c r="K7"/>
      <c r="L7"/>
    </row>
    <row r="8" spans="1:12" s="92" customFormat="1" ht="43.5" customHeight="1" x14ac:dyDescent="0.25">
      <c r="A8" s="335" t="s">
        <v>97</v>
      </c>
      <c r="B8" s="336"/>
      <c r="C8" s="336"/>
      <c r="D8" s="336"/>
      <c r="E8" s="336"/>
      <c r="F8" s="337"/>
    </row>
    <row r="9" spans="1:12" s="92" customFormat="1" ht="39.9" customHeight="1" x14ac:dyDescent="0.25">
      <c r="A9" s="282" t="s">
        <v>215</v>
      </c>
      <c r="B9" s="283"/>
      <c r="C9" s="283"/>
      <c r="D9" s="283"/>
      <c r="E9" s="283"/>
      <c r="F9" s="284"/>
    </row>
    <row r="10" spans="1:12" ht="43.5" customHeight="1" x14ac:dyDescent="0.25">
      <c r="A10" s="285" t="s">
        <v>91</v>
      </c>
      <c r="B10" s="286"/>
      <c r="C10" s="287" t="s">
        <v>92</v>
      </c>
      <c r="D10" s="288"/>
      <c r="E10" s="287" t="s">
        <v>93</v>
      </c>
      <c r="F10" s="289"/>
    </row>
    <row r="11" spans="1:12" ht="30" customHeight="1" x14ac:dyDescent="0.25">
      <c r="A11" s="329"/>
      <c r="B11" s="330"/>
      <c r="C11" s="338"/>
      <c r="D11" s="339"/>
      <c r="E11" s="340">
        <f>IFERROR(C11/$C$19,0)</f>
        <v>0</v>
      </c>
      <c r="F11" s="341"/>
    </row>
    <row r="12" spans="1:12" ht="30" customHeight="1" x14ac:dyDescent="0.25">
      <c r="A12" s="329"/>
      <c r="B12" s="330"/>
      <c r="C12" s="338"/>
      <c r="D12" s="339"/>
      <c r="E12" s="340">
        <f t="shared" ref="E12:E17" si="0">IFERROR(C12/$C$19,0)</f>
        <v>0</v>
      </c>
      <c r="F12" s="341"/>
    </row>
    <row r="13" spans="1:12" ht="30" customHeight="1" x14ac:dyDescent="0.25">
      <c r="A13" s="329"/>
      <c r="B13" s="330"/>
      <c r="C13" s="338"/>
      <c r="D13" s="339"/>
      <c r="E13" s="340">
        <f>IFERROR(C13/$C$19,0)</f>
        <v>0</v>
      </c>
      <c r="F13" s="341"/>
    </row>
    <row r="14" spans="1:12" ht="30" customHeight="1" x14ac:dyDescent="0.25">
      <c r="A14" s="329"/>
      <c r="B14" s="330"/>
      <c r="C14" s="338"/>
      <c r="D14" s="339"/>
      <c r="E14" s="340">
        <f t="shared" si="0"/>
        <v>0</v>
      </c>
      <c r="F14" s="341"/>
    </row>
    <row r="15" spans="1:12" ht="30" customHeight="1" x14ac:dyDescent="0.25">
      <c r="A15" s="329"/>
      <c r="B15" s="330"/>
      <c r="C15" s="338"/>
      <c r="D15" s="339"/>
      <c r="E15" s="340">
        <f t="shared" si="0"/>
        <v>0</v>
      </c>
      <c r="F15" s="341"/>
    </row>
    <row r="16" spans="1:12" ht="30" customHeight="1" x14ac:dyDescent="0.25">
      <c r="A16" s="329"/>
      <c r="B16" s="330"/>
      <c r="C16" s="338"/>
      <c r="D16" s="339"/>
      <c r="E16" s="340">
        <f t="shared" si="0"/>
        <v>0</v>
      </c>
      <c r="F16" s="341"/>
    </row>
    <row r="17" spans="1:12" ht="30" customHeight="1" x14ac:dyDescent="0.25">
      <c r="A17" s="329"/>
      <c r="B17" s="330"/>
      <c r="C17" s="338"/>
      <c r="D17" s="339"/>
      <c r="E17" s="340">
        <f t="shared" si="0"/>
        <v>0</v>
      </c>
      <c r="F17" s="341"/>
    </row>
    <row r="18" spans="1:12" ht="30" customHeight="1" thickBot="1" x14ac:dyDescent="0.3">
      <c r="A18" s="345" t="s">
        <v>94</v>
      </c>
      <c r="B18" s="346"/>
      <c r="C18" s="349" t="str">
        <f>'Calculated Metrics'!$F$32</f>
        <v>Select building type in cell B10 of user inputs</v>
      </c>
      <c r="D18" s="350"/>
      <c r="E18" s="340">
        <f t="shared" ref="E18" si="1">IFERROR(C18/$C$19,0)</f>
        <v>0</v>
      </c>
      <c r="F18" s="341"/>
    </row>
    <row r="19" spans="1:12" ht="30" customHeight="1" thickTop="1" x14ac:dyDescent="0.25">
      <c r="A19" s="347" t="s">
        <v>95</v>
      </c>
      <c r="B19" s="348"/>
      <c r="C19" s="351">
        <f>SUM($C$11:$D$18)</f>
        <v>0</v>
      </c>
      <c r="D19" s="352"/>
      <c r="E19" s="353">
        <f>SUM($E$11:$F$18)</f>
        <v>0</v>
      </c>
      <c r="F19" s="354"/>
    </row>
    <row r="20" spans="1:12" s="29" customFormat="1" ht="13.5" customHeight="1" x14ac:dyDescent="0.3">
      <c r="A20" s="90"/>
      <c r="B20" s="90"/>
      <c r="C20" s="90"/>
      <c r="D20" s="90"/>
      <c r="E20" s="90"/>
      <c r="F20" s="91"/>
      <c r="G20"/>
      <c r="H20"/>
      <c r="I20"/>
      <c r="J20"/>
      <c r="K20"/>
      <c r="L20"/>
    </row>
    <row r="21" spans="1:12" s="29" customFormat="1" ht="43.5" customHeight="1" x14ac:dyDescent="0.3">
      <c r="A21" s="358" t="s">
        <v>96</v>
      </c>
      <c r="B21" s="359"/>
      <c r="C21" s="359"/>
      <c r="D21" s="359"/>
      <c r="E21" s="359"/>
      <c r="F21" s="360"/>
      <c r="G21"/>
      <c r="H21"/>
      <c r="I21"/>
      <c r="J21"/>
      <c r="K21"/>
      <c r="L21"/>
    </row>
    <row r="22" spans="1:12" s="29" customFormat="1" ht="43.5" customHeight="1" x14ac:dyDescent="0.3">
      <c r="A22" s="285" t="s">
        <v>98</v>
      </c>
      <c r="B22" s="286"/>
      <c r="C22" s="287" t="s">
        <v>99</v>
      </c>
      <c r="D22" s="288"/>
      <c r="E22" s="287" t="s">
        <v>100</v>
      </c>
      <c r="F22" s="289"/>
      <c r="G22"/>
      <c r="H22"/>
      <c r="I22"/>
      <c r="J22"/>
      <c r="K22"/>
      <c r="L22"/>
    </row>
    <row r="23" spans="1:12" s="29" customFormat="1" ht="30" customHeight="1" x14ac:dyDescent="0.3">
      <c r="A23" s="355"/>
      <c r="B23" s="330"/>
      <c r="C23" s="355"/>
      <c r="D23" s="330"/>
      <c r="E23" s="338"/>
      <c r="F23" s="361"/>
      <c r="G23"/>
      <c r="H23"/>
      <c r="I23"/>
      <c r="J23"/>
      <c r="K23"/>
      <c r="L23"/>
    </row>
    <row r="24" spans="1:12" s="29" customFormat="1" ht="30" customHeight="1" x14ac:dyDescent="0.3">
      <c r="A24" s="355"/>
      <c r="B24" s="330"/>
      <c r="C24" s="355"/>
      <c r="D24" s="330"/>
      <c r="E24" s="356"/>
      <c r="F24" s="357"/>
      <c r="G24"/>
      <c r="H24"/>
      <c r="I24"/>
      <c r="J24"/>
      <c r="K24"/>
      <c r="L24"/>
    </row>
    <row r="25" spans="1:12" s="29" customFormat="1" ht="30" customHeight="1" x14ac:dyDescent="0.3">
      <c r="A25" s="355"/>
      <c r="B25" s="330"/>
      <c r="C25" s="355"/>
      <c r="D25" s="330"/>
      <c r="E25" s="356"/>
      <c r="F25" s="357"/>
      <c r="G25"/>
      <c r="H25"/>
      <c r="I25"/>
      <c r="J25"/>
      <c r="K25"/>
      <c r="L25"/>
    </row>
    <row r="26" spans="1:12" s="29" customFormat="1" ht="30" customHeight="1" x14ac:dyDescent="0.3">
      <c r="A26" s="355"/>
      <c r="B26" s="330"/>
      <c r="C26" s="355"/>
      <c r="D26" s="330"/>
      <c r="E26" s="356"/>
      <c r="F26" s="357"/>
      <c r="G26"/>
      <c r="H26"/>
      <c r="I26"/>
      <c r="J26"/>
      <c r="K26"/>
      <c r="L26"/>
    </row>
    <row r="27" spans="1:12" s="29" customFormat="1" ht="30" customHeight="1" x14ac:dyDescent="0.3">
      <c r="A27" s="355"/>
      <c r="B27" s="330"/>
      <c r="C27" s="355"/>
      <c r="D27" s="330"/>
      <c r="E27" s="356"/>
      <c r="F27" s="357"/>
      <c r="G27"/>
      <c r="H27"/>
      <c r="I27"/>
      <c r="J27"/>
      <c r="K27"/>
      <c r="L27"/>
    </row>
    <row r="28" spans="1:12" s="29" customFormat="1" ht="30" customHeight="1" x14ac:dyDescent="0.3">
      <c r="A28" s="355"/>
      <c r="B28" s="330"/>
      <c r="C28" s="355"/>
      <c r="D28" s="330"/>
      <c r="E28" s="356"/>
      <c r="F28" s="357"/>
      <c r="G28"/>
      <c r="H28"/>
      <c r="I28"/>
      <c r="J28"/>
      <c r="K28"/>
      <c r="L28"/>
    </row>
    <row r="29" spans="1:12" s="29" customFormat="1" ht="30" customHeight="1" x14ac:dyDescent="0.3">
      <c r="A29" s="355"/>
      <c r="B29" s="330"/>
      <c r="C29" s="355"/>
      <c r="D29" s="330"/>
      <c r="E29" s="356"/>
      <c r="F29" s="357"/>
      <c r="G29"/>
      <c r="H29"/>
      <c r="I29"/>
      <c r="J29"/>
      <c r="K29"/>
      <c r="L29"/>
    </row>
    <row r="30" spans="1:12" s="29" customFormat="1" ht="30" customHeight="1" thickBot="1" x14ac:dyDescent="0.35">
      <c r="A30" s="355"/>
      <c r="B30" s="330"/>
      <c r="C30" s="355"/>
      <c r="D30" s="330"/>
      <c r="E30" s="356"/>
      <c r="F30" s="357"/>
      <c r="G30"/>
      <c r="H30"/>
      <c r="I30"/>
      <c r="J30"/>
      <c r="K30"/>
      <c r="L30"/>
    </row>
    <row r="31" spans="1:12" s="29" customFormat="1" ht="30" customHeight="1" thickTop="1" x14ac:dyDescent="0.3">
      <c r="A31" s="372" t="s">
        <v>95</v>
      </c>
      <c r="B31" s="373"/>
      <c r="C31" s="373"/>
      <c r="D31" s="348"/>
      <c r="E31" s="369">
        <f>SUM($C$11:$D$18)</f>
        <v>0</v>
      </c>
      <c r="F31" s="370"/>
      <c r="G31"/>
      <c r="H31"/>
      <c r="I31"/>
      <c r="J31"/>
      <c r="K31"/>
      <c r="L31"/>
    </row>
    <row r="32" spans="1:12" s="29" customFormat="1" ht="13.5" customHeight="1" x14ac:dyDescent="0.3">
      <c r="A32" s="90"/>
      <c r="B32" s="90"/>
      <c r="C32" s="90"/>
      <c r="D32" s="90"/>
      <c r="E32" s="90"/>
      <c r="F32" s="91"/>
      <c r="G32"/>
      <c r="H32"/>
      <c r="I32"/>
      <c r="J32"/>
      <c r="K32"/>
      <c r="L32"/>
    </row>
    <row r="33" spans="1:12" s="99" customFormat="1" ht="43.5" customHeight="1" x14ac:dyDescent="0.4">
      <c r="A33" s="358" t="s">
        <v>101</v>
      </c>
      <c r="B33" s="359"/>
      <c r="C33" s="336"/>
      <c r="D33" s="371"/>
      <c r="E33" s="290"/>
      <c r="F33" s="291"/>
    </row>
    <row r="34" spans="1:12" ht="43.5" customHeight="1" x14ac:dyDescent="0.25">
      <c r="A34" s="292" t="s">
        <v>102</v>
      </c>
      <c r="B34" s="293"/>
      <c r="C34" s="294" t="s">
        <v>103</v>
      </c>
      <c r="D34" s="295"/>
      <c r="E34" s="90"/>
      <c r="F34" s="296"/>
    </row>
    <row r="35" spans="1:12" ht="30" customHeight="1" x14ac:dyDescent="0.25">
      <c r="A35" s="366" t="s">
        <v>104</v>
      </c>
      <c r="B35" s="367"/>
      <c r="C35" s="355"/>
      <c r="D35" s="368"/>
      <c r="E35" s="90"/>
      <c r="F35" s="296"/>
    </row>
    <row r="36" spans="1:12" ht="30" customHeight="1" x14ac:dyDescent="0.25">
      <c r="A36" s="366" t="s">
        <v>198</v>
      </c>
      <c r="B36" s="367"/>
      <c r="C36" s="355"/>
      <c r="D36" s="368"/>
      <c r="E36" s="90"/>
      <c r="F36" s="296"/>
    </row>
    <row r="37" spans="1:12" ht="30" customHeight="1" x14ac:dyDescent="0.25">
      <c r="A37" s="366" t="s">
        <v>105</v>
      </c>
      <c r="B37" s="367"/>
      <c r="C37" s="355"/>
      <c r="D37" s="368"/>
      <c r="E37" s="90"/>
      <c r="F37" s="296"/>
    </row>
    <row r="38" spans="1:12" ht="30" customHeight="1" x14ac:dyDescent="0.25">
      <c r="A38" s="366" t="s">
        <v>106</v>
      </c>
      <c r="B38" s="367"/>
      <c r="C38" s="355"/>
      <c r="D38" s="368"/>
      <c r="E38" s="90"/>
      <c r="F38" s="296"/>
    </row>
    <row r="39" spans="1:12" ht="30" customHeight="1" x14ac:dyDescent="0.25">
      <c r="A39" s="366" t="s">
        <v>107</v>
      </c>
      <c r="B39" s="367"/>
      <c r="C39" s="355"/>
      <c r="D39" s="368"/>
      <c r="E39" s="90"/>
      <c r="F39" s="296"/>
    </row>
    <row r="40" spans="1:12" ht="30" customHeight="1" x14ac:dyDescent="0.25">
      <c r="A40" s="362" t="s">
        <v>216</v>
      </c>
      <c r="B40" s="363"/>
      <c r="C40" s="364"/>
      <c r="D40" s="365"/>
      <c r="E40" s="297"/>
      <c r="F40" s="298"/>
    </row>
    <row r="41" spans="1:12" s="29" customFormat="1" ht="13.5" customHeight="1" x14ac:dyDescent="0.3">
      <c r="A41" s="100"/>
      <c r="B41" s="100"/>
      <c r="C41" s="100"/>
      <c r="D41" s="100"/>
      <c r="E41" s="100"/>
      <c r="F41" s="100"/>
      <c r="G41"/>
      <c r="H41"/>
      <c r="I41"/>
      <c r="J41"/>
      <c r="K41"/>
      <c r="L41"/>
    </row>
    <row r="42" spans="1:12" s="29" customFormat="1" ht="18" customHeight="1" x14ac:dyDescent="0.3">
      <c r="A42" s="101"/>
      <c r="B42" s="101"/>
      <c r="C42" s="101"/>
      <c r="D42" s="101"/>
      <c r="E42" s="101"/>
      <c r="F42" s="101"/>
      <c r="G42"/>
      <c r="H42"/>
      <c r="I42"/>
      <c r="J42"/>
      <c r="K42"/>
      <c r="L42"/>
    </row>
    <row r="43" spans="1:12" s="29" customFormat="1" ht="7.5" customHeight="1" x14ac:dyDescent="0.3">
      <c r="A43" s="102"/>
      <c r="B43" s="102"/>
      <c r="C43" s="102"/>
      <c r="D43" s="102"/>
      <c r="E43" s="102"/>
      <c r="F43" s="102"/>
      <c r="G43"/>
      <c r="H43"/>
      <c r="I43"/>
      <c r="J43"/>
      <c r="K43"/>
      <c r="L43"/>
    </row>
  </sheetData>
  <sheetProtection algorithmName="SHA-512" hashValue="FoGungsFv/2QB+sqQIpUIWuf/rR6ViMAE4983SDVPoRGYk/BZtaXri/JiVvK0iXjppwDLl/fYTergrRavZrfJw==" saltValue="M1Lva5d0EI3a57EKSUkCmA==" spinCount="100000" sheet="1" objects="1" scenarios="1"/>
  <mergeCells count="71">
    <mergeCell ref="A36:B36"/>
    <mergeCell ref="C36:D36"/>
    <mergeCell ref="A33:D33"/>
    <mergeCell ref="A29:B29"/>
    <mergeCell ref="C29:D29"/>
    <mergeCell ref="A31:D31"/>
    <mergeCell ref="A35:B35"/>
    <mergeCell ref="C35:D35"/>
    <mergeCell ref="C27:D27"/>
    <mergeCell ref="E27:F27"/>
    <mergeCell ref="A26:B26"/>
    <mergeCell ref="E29:F29"/>
    <mergeCell ref="A30:B30"/>
    <mergeCell ref="C30:D30"/>
    <mergeCell ref="E30:F30"/>
    <mergeCell ref="A28:B28"/>
    <mergeCell ref="C28:D28"/>
    <mergeCell ref="E28:F28"/>
    <mergeCell ref="A21:F21"/>
    <mergeCell ref="A23:B23"/>
    <mergeCell ref="C23:D23"/>
    <mergeCell ref="E23:F23"/>
    <mergeCell ref="A40:B40"/>
    <mergeCell ref="C40:D40"/>
    <mergeCell ref="A37:B37"/>
    <mergeCell ref="C37:D37"/>
    <mergeCell ref="A38:B38"/>
    <mergeCell ref="C38:D38"/>
    <mergeCell ref="A39:B39"/>
    <mergeCell ref="C39:D39"/>
    <mergeCell ref="E31:F31"/>
    <mergeCell ref="C26:D26"/>
    <mergeCell ref="E26:F26"/>
    <mergeCell ref="A27:B27"/>
    <mergeCell ref="A24:B24"/>
    <mergeCell ref="C24:D24"/>
    <mergeCell ref="E24:F24"/>
    <mergeCell ref="A25:B25"/>
    <mergeCell ref="C25:D25"/>
    <mergeCell ref="E25:F25"/>
    <mergeCell ref="C17:D17"/>
    <mergeCell ref="C18:D18"/>
    <mergeCell ref="C19:D19"/>
    <mergeCell ref="E12:F12"/>
    <mergeCell ref="E13:F13"/>
    <mergeCell ref="E14:F14"/>
    <mergeCell ref="E15:F15"/>
    <mergeCell ref="E16:F16"/>
    <mergeCell ref="E17:F17"/>
    <mergeCell ref="E18:F18"/>
    <mergeCell ref="C12:D12"/>
    <mergeCell ref="C13:D13"/>
    <mergeCell ref="C14:D14"/>
    <mergeCell ref="C15:D15"/>
    <mergeCell ref="C16:D16"/>
    <mergeCell ref="E19:F19"/>
    <mergeCell ref="A15:B15"/>
    <mergeCell ref="A16:B16"/>
    <mergeCell ref="A17:B17"/>
    <mergeCell ref="A18:B18"/>
    <mergeCell ref="A19:B19"/>
    <mergeCell ref="A12:B12"/>
    <mergeCell ref="A13:B13"/>
    <mergeCell ref="A14:B14"/>
    <mergeCell ref="A3:F3"/>
    <mergeCell ref="A4:F4"/>
    <mergeCell ref="A8:F8"/>
    <mergeCell ref="A11:B11"/>
    <mergeCell ref="C11:D11"/>
    <mergeCell ref="E11:F11"/>
    <mergeCell ref="D6:F6"/>
  </mergeCells>
  <conditionalFormatting sqref="A11:B18">
    <cfRule type="containsBlanks" dxfId="37" priority="10">
      <formula>LEN(TRIM(A11))=0</formula>
    </cfRule>
  </conditionalFormatting>
  <conditionalFormatting sqref="A23:F30">
    <cfRule type="containsBlanks" dxfId="36" priority="4">
      <formula>LEN(TRIM(A23))=0</formula>
    </cfRule>
  </conditionalFormatting>
  <conditionalFormatting sqref="C11:D17">
    <cfRule type="containsBlanks" dxfId="35" priority="1">
      <formula>LEN(TRIM(C11))=0</formula>
    </cfRule>
  </conditionalFormatting>
  <conditionalFormatting sqref="C35:D35 C36 C37:D40">
    <cfRule type="containsBlanks" dxfId="34" priority="2">
      <formula>LEN(TRIM(C35))=0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3973-EF09-4AF9-91C3-18632FD5153C}">
  <sheetPr>
    <tabColor rgb="FF0070C0"/>
    <pageSetUpPr autoPageBreaks="0"/>
  </sheetPr>
  <dimension ref="A1:L41"/>
  <sheetViews>
    <sheetView showGridLines="0" zoomScale="70" zoomScaleNormal="70" workbookViewId="0">
      <selection activeCell="K2" sqref="K2"/>
    </sheetView>
  </sheetViews>
  <sheetFormatPr defaultColWidth="9.109375" defaultRowHeight="23.4" x14ac:dyDescent="0.45"/>
  <cols>
    <col min="1" max="10" width="25.6640625" style="29" customWidth="1"/>
    <col min="11" max="11" width="15.6640625" style="29" customWidth="1"/>
    <col min="12" max="12" width="15.6640625" style="118" customWidth="1"/>
    <col min="13" max="19" width="15.6640625" style="29" customWidth="1"/>
    <col min="20" max="16384" width="9.109375" style="29"/>
  </cols>
  <sheetData>
    <row r="1" spans="1:12" ht="15.75" customHeight="1" x14ac:dyDescent="0.45">
      <c r="A1" s="115"/>
      <c r="B1" s="116"/>
      <c r="C1" s="116"/>
      <c r="D1" s="116"/>
      <c r="E1" s="116"/>
      <c r="F1" s="116"/>
      <c r="G1" s="116"/>
      <c r="H1" s="116"/>
      <c r="I1" s="116"/>
      <c r="J1" s="117"/>
    </row>
    <row r="2" spans="1:12" ht="164.25" customHeight="1" x14ac:dyDescent="1.4">
      <c r="A2" s="119"/>
      <c r="B2" s="120"/>
      <c r="C2" s="120"/>
      <c r="D2" s="120"/>
      <c r="E2" s="120"/>
      <c r="F2" s="120"/>
      <c r="G2" s="120"/>
      <c r="H2" s="120"/>
      <c r="I2" s="120"/>
      <c r="J2" s="121"/>
    </row>
    <row r="3" spans="1:12" s="89" customFormat="1" ht="45" customHeight="1" x14ac:dyDescent="0.3">
      <c r="A3" s="301" t="s">
        <v>64</v>
      </c>
      <c r="B3" s="331"/>
      <c r="C3" s="331"/>
      <c r="D3" s="331"/>
      <c r="E3" s="331"/>
      <c r="F3" s="331"/>
      <c r="G3" s="331"/>
      <c r="H3" s="331"/>
      <c r="I3" s="331"/>
      <c r="J3" s="302"/>
      <c r="L3" s="122"/>
    </row>
    <row r="4" spans="1:12" s="89" customFormat="1" ht="27" customHeight="1" x14ac:dyDescent="0.3">
      <c r="A4" s="383" t="s">
        <v>182</v>
      </c>
      <c r="B4" s="384"/>
      <c r="C4" s="384"/>
      <c r="D4" s="384"/>
      <c r="E4" s="384"/>
      <c r="F4" s="384"/>
      <c r="G4" s="384"/>
      <c r="H4" s="384"/>
      <c r="I4" s="384"/>
      <c r="J4" s="385"/>
      <c r="L4" s="122"/>
    </row>
    <row r="5" spans="1:12" ht="13.5" customHeight="1" x14ac:dyDescent="0.45">
      <c r="A5" s="123"/>
      <c r="B5" s="124"/>
      <c r="C5" s="125"/>
      <c r="D5" s="124"/>
      <c r="E5" s="125"/>
      <c r="F5" s="124"/>
      <c r="G5" s="124"/>
      <c r="H5" s="124"/>
      <c r="I5" s="125"/>
      <c r="J5" s="124"/>
    </row>
    <row r="6" spans="1:12" s="89" customFormat="1" ht="39.9" customHeight="1" x14ac:dyDescent="0.5">
      <c r="A6" s="126" t="s">
        <v>53</v>
      </c>
      <c r="B6" s="127"/>
      <c r="C6" s="127"/>
      <c r="D6" s="127"/>
      <c r="E6" s="127"/>
      <c r="F6" s="127"/>
      <c r="G6" s="127"/>
      <c r="H6" s="127"/>
      <c r="I6" s="127"/>
      <c r="J6" s="128"/>
      <c r="L6" s="129"/>
    </row>
    <row r="7" spans="1:12" ht="13.5" customHeight="1" x14ac:dyDescent="0.45">
      <c r="A7" s="130"/>
      <c r="B7" s="131"/>
      <c r="C7" s="132"/>
      <c r="D7" s="131"/>
      <c r="E7" s="132"/>
      <c r="F7" s="131"/>
      <c r="G7" s="131"/>
      <c r="H7" s="131"/>
      <c r="I7" s="132"/>
      <c r="J7" s="133"/>
    </row>
    <row r="8" spans="1:12" ht="97.5" customHeight="1" x14ac:dyDescent="0.45">
      <c r="A8" s="134" t="s">
        <v>0</v>
      </c>
      <c r="B8" s="46" cm="1">
        <f t="array" ref="B8">_xlfn.LET(
    _xlpm.baseline,IFERROR(--'User Inputs'!$B$23,0),
    _xlpm.nonSolarSavings,
    SUM(
        IF('User Inputs'!$F$10&gt;=1,IFERROR(--'User Inputs'!$B$41,0),0),
        IF('User Inputs'!$F$10&gt;=2,IFERROR(--'User Inputs'!$B$43,0),0),
        IF('User Inputs'!$F$10&gt;=3,IFERROR(--'User Inputs'!$B$45,0),0),
        IF('User Inputs'!$F$10&gt;=4,IFERROR(--'User Inputs'!$B$47,0),0)
    ),
    _xlpm.solarProduction,
    IF(
        'User Inputs'!$B$10='Dev. Notes'!$B$17,
        0,
        _xlfn.SWITCH(
            'User Inputs'!$H$10,
            'Dev. Notes'!$B$5,IFERROR(--'User Inputs'!$F$58,0),
            'Dev. Notes'!$B$6,IFERROR(--'User Inputs'!$F$60,0),
            'Dev. Notes'!$B$7,
                IFERROR(--'User Inputs'!$F$58,0)
                +IFERROR(--'User Inputs'!$F$60,0),
            0
        )
    ),
    _xlpm.baseline-_xlpm.nonSolarSavings-_xlpm.solarProduction
)</f>
        <v>0</v>
      </c>
      <c r="C8" s="135" t="s">
        <v>1</v>
      </c>
      <c r="D8" s="46">
        <f>IF(
    OR('User Inputs'!$F$10="",'User Inputs'!$F$10=0),
    0,
    'User Inputs'!$D$23-
    SUM(
        IF('User Inputs'!$F$10&gt;=1,IFERROR(--'User Inputs'!$D$41,0),0),
        IF('User Inputs'!$F$10&gt;=2,IFERROR(--'User Inputs'!$D$43,0),0),
        IF('User Inputs'!$F$10&gt;=3,IFERROR(--'User Inputs'!$D$45,0),0),
        IF('User Inputs'!$F$10&gt;=4,IFERROR(--'User Inputs'!$D$47,0),0)
    )
)</f>
        <v>0</v>
      </c>
      <c r="E8" s="135" t="s">
        <v>23</v>
      </c>
      <c r="F8" s="46">
        <f>IF(
    OR('User Inputs'!$F$10="",'User Inputs'!$F$10=0),
    0,
    'User Inputs'!$F$23-
    SUM(
        IF('User Inputs'!$F$10&gt;=1,IFERROR(--'User Inputs'!$F$41,0),0),
        IF('User Inputs'!$F$10&gt;=2,IFERROR(--'User Inputs'!$F$43,0),0),
        IF('User Inputs'!$F$10&gt;=3,IFERROR(--'User Inputs'!$F$45,0),0),
        IF('User Inputs'!$F$10&gt;=4,IFERROR(--'User Inputs'!$F$47,0),0)
    )
)</f>
        <v>0</v>
      </c>
      <c r="G8" s="135" t="s">
        <v>2</v>
      </c>
      <c r="H8" s="46">
        <f>IF(
    OR('User Inputs'!$F$10="",'User Inputs'!$F$10=0),
    0,
    'User Inputs'!$H$23-
    SUM(
        IF('User Inputs'!$F$10&gt;=1,IFERROR(--'User Inputs'!$H$41,0),0),
        IF('User Inputs'!$F$10&gt;=2,IFERROR(--'User Inputs'!$H$43,0),0),
        IF('User Inputs'!$F$10&gt;=3,IFERROR(--'User Inputs'!$H$45,0),0),
        IF('User Inputs'!$F$10&gt;=4,IFERROR(--'User Inputs'!$H$47,0),0)
    )
)</f>
        <v>0</v>
      </c>
      <c r="I8" s="135" t="s">
        <v>128</v>
      </c>
      <c r="J8" s="47">
        <f>IF(
    OR('User Inputs'!$F$10="",'User Inputs'!$F$10=0),
    0,
    'User Inputs'!$J$23-
    SUM(
        IF('User Inputs'!$F$10&gt;=1,IFERROR(--'User Inputs'!$J$41,0),0),
        IF('User Inputs'!$F$10&gt;=2,IFERROR(--'User Inputs'!$J$43,0),0),
        IF('User Inputs'!$F$10&gt;=3,IFERROR(--'User Inputs'!$J$45,0),0),
        IF('User Inputs'!$F$10&gt;=4,IFERROR(--'User Inputs'!$J$47,0),0)
    )
)</f>
        <v>0</v>
      </c>
    </row>
    <row r="9" spans="1:12" ht="13.5" customHeight="1" x14ac:dyDescent="0.45">
      <c r="A9" s="123"/>
      <c r="B9" s="124"/>
      <c r="C9" s="125"/>
      <c r="D9" s="124"/>
      <c r="E9" s="125"/>
      <c r="F9" s="124"/>
      <c r="G9" s="124"/>
      <c r="H9" s="124"/>
      <c r="I9" s="125"/>
      <c r="J9" s="124"/>
    </row>
    <row r="10" spans="1:12" ht="39.9" customHeight="1" x14ac:dyDescent="0.5">
      <c r="A10" s="126" t="s">
        <v>61</v>
      </c>
      <c r="B10" s="127"/>
      <c r="C10" s="127"/>
      <c r="D10" s="127"/>
      <c r="E10" s="127"/>
      <c r="F10" s="127"/>
      <c r="G10" s="127"/>
      <c r="H10" s="127"/>
      <c r="I10" s="127"/>
      <c r="J10" s="136"/>
      <c r="L10" s="137"/>
    </row>
    <row r="11" spans="1:12" ht="13.5" customHeight="1" x14ac:dyDescent="0.45">
      <c r="A11" s="123"/>
      <c r="B11" s="124"/>
      <c r="C11" s="125"/>
      <c r="D11" s="124"/>
      <c r="E11" s="125"/>
      <c r="F11" s="124"/>
      <c r="G11" s="124"/>
      <c r="H11" s="124"/>
      <c r="I11" s="125"/>
      <c r="J11" s="138"/>
    </row>
    <row r="12" spans="1:12" ht="69.900000000000006" customHeight="1" x14ac:dyDescent="0.45">
      <c r="A12" s="139"/>
      <c r="B12" s="140"/>
      <c r="C12" s="140"/>
      <c r="D12" s="141"/>
      <c r="E12" s="140"/>
      <c r="F12" s="141"/>
      <c r="G12" s="141"/>
      <c r="H12" s="141"/>
      <c r="I12" s="142" t="s">
        <v>28</v>
      </c>
      <c r="J12" s="48" cm="1">
        <f t="array" ref="J12">SUM(
    IF('User Inputs'!$F$10&gt;=1,'User Inputs'!$B$52,0),
    IF('User Inputs'!$F$10&gt;=2,'User Inputs'!$D$52,0),
    IF('User Inputs'!$F$10&gt;=3,'User Inputs'!$F$52,0),
    IF('User Inputs'!$F$10&gt;=4,'User Inputs'!$H$52,0)
)
+
IF(
    'User Inputs'!$B$10='Dev. Notes'!$B$17,
    0,
    _xlfn.SWITCH(
        'User Inputs'!$H$10,
        'Dev. Notes'!$B$5,IFERROR(--'User Inputs'!$H$58,0),
        'Dev. Notes'!$B$6,IFERROR(--'User Inputs'!$H$60,0),
        'Dev. Notes'!$B$7,
            IFERROR(--'User Inputs'!$H$58,0)
            +IFERROR(--'User Inputs'!$H$60,0),
        0
    )
)</f>
        <v>0</v>
      </c>
    </row>
    <row r="13" spans="1:12" ht="13.5" customHeight="1" x14ac:dyDescent="0.45">
      <c r="A13" s="139"/>
      <c r="B13" s="141"/>
      <c r="C13" s="140"/>
      <c r="D13" s="141"/>
      <c r="E13" s="140"/>
      <c r="F13" s="141"/>
      <c r="G13" s="141"/>
      <c r="H13" s="141"/>
      <c r="I13" s="140"/>
      <c r="J13" s="141"/>
    </row>
    <row r="14" spans="1:12" ht="39.9" customHeight="1" x14ac:dyDescent="0.5">
      <c r="A14" s="126" t="s">
        <v>54</v>
      </c>
      <c r="B14" s="127"/>
      <c r="C14" s="127"/>
      <c r="D14" s="127"/>
      <c r="E14" s="127"/>
      <c r="F14" s="127"/>
      <c r="G14" s="127"/>
      <c r="H14" s="127"/>
      <c r="I14" s="127"/>
      <c r="J14" s="136"/>
    </row>
    <row r="15" spans="1:12" ht="13.5" customHeight="1" x14ac:dyDescent="0.45">
      <c r="A15" s="143"/>
      <c r="B15" s="144"/>
      <c r="C15" s="145"/>
      <c r="D15" s="144"/>
      <c r="E15" s="145"/>
      <c r="F15" s="144"/>
      <c r="G15" s="144"/>
      <c r="H15" s="144"/>
      <c r="I15" s="145"/>
      <c r="J15" s="146"/>
    </row>
    <row r="16" spans="1:12" ht="37.5" customHeight="1" x14ac:dyDescent="0.45">
      <c r="A16" s="147" t="s">
        <v>25</v>
      </c>
      <c r="B16" s="49" cm="1">
        <f t="array" ref="B16">SUM(
    IF('User Inputs'!$F$10&gt;=1,'User Inputs'!$B$41,0),
    IF('User Inputs'!$F$10&gt;=2,'User Inputs'!$B$43,0),
    IF('User Inputs'!$F$10&gt;=3,'User Inputs'!$B$45,0),
    IF('User Inputs'!$F$10&gt;=4,'User Inputs'!$B$47,0)
)
+
IF(
    'User Inputs'!$B$10='Dev. Notes'!$B$17,
    0,
    _xlfn.SWITCH(
        'User Inputs'!$H$10,
        'Dev. Notes'!$B$5,IFERROR(--'User Inputs'!$F$58,0),
        'Dev. Notes'!$B$6,IFERROR(--'User Inputs'!$F$60,0),
        'Dev. Notes'!$B$7,
            IFERROR(--'User Inputs'!$F$58,0)
            +IFERROR(--'User Inputs'!$F$60,0),
        0
    )
)</f>
        <v>0</v>
      </c>
      <c r="C16" s="148" t="s">
        <v>13</v>
      </c>
      <c r="D16" s="49">
        <f>IF(
    OR('User Inputs'!$F$10="",'User Inputs'!$F$10=0,'User Inputs'!$D$23=0),
    0,
    IFERROR('User Inputs'!$D$23-'Calculated Metrics'!$D$8,0)
)</f>
        <v>0</v>
      </c>
      <c r="E16" s="148" t="s">
        <v>24</v>
      </c>
      <c r="F16" s="49">
        <f>IF(
    OR('User Inputs'!$F$10="",'User Inputs'!$F$10=0,'User Inputs'!$F$23=0),
    0,
    IFERROR('User Inputs'!$F$23-'Calculated Metrics'!$F$8,0)
)</f>
        <v>0</v>
      </c>
      <c r="G16" s="148" t="s">
        <v>14</v>
      </c>
      <c r="H16" s="49">
        <f>IF(
    OR('User Inputs'!$F$10="",'User Inputs'!$F$10=0,'User Inputs'!$H$23=0),
    0,
    IFERROR('User Inputs'!$H$23-'Calculated Metrics'!$H$8,0)
)</f>
        <v>0</v>
      </c>
      <c r="I16" s="148" t="s">
        <v>131</v>
      </c>
      <c r="J16" s="50">
        <f>IF(
    OR('User Inputs'!$F$10="",'User Inputs'!$F$10=0,'User Inputs'!$J$23=0),
    0,
    IFERROR('User Inputs'!$J$23-'Calculated Metrics'!$J$8,0)
)</f>
        <v>0</v>
      </c>
    </row>
    <row r="17" spans="1:12" ht="13.5" customHeight="1" x14ac:dyDescent="0.45">
      <c r="A17" s="123"/>
      <c r="B17" s="51"/>
      <c r="C17" s="125"/>
      <c r="D17" s="51"/>
      <c r="E17" s="125"/>
      <c r="F17" s="51"/>
      <c r="G17" s="51"/>
      <c r="H17" s="51"/>
      <c r="I17" s="125"/>
      <c r="J17" s="52"/>
    </row>
    <row r="18" spans="1:12" ht="69.900000000000006" customHeight="1" x14ac:dyDescent="0.45">
      <c r="A18" s="149" t="str">
        <f>'User Inputs'!$A$72</f>
        <v>Current Energy Use Intensity [EUI] (kBTU/ft2)</v>
      </c>
      <c r="B18" s="53" t="str">
        <f>'User Inputs'!$B$72</f>
        <v>Enter floor area in cell D10</v>
      </c>
      <c r="C18" s="150" t="str">
        <f>'User Inputs'!$C$72</f>
        <v>Projected Energy Use Intensity [EUI] (kBTU/ft2)</v>
      </c>
      <c r="D18" s="53" t="str">
        <f>'User Inputs'!$D$72</f>
        <v>Enter floor area in cell D10</v>
      </c>
      <c r="E18" s="140"/>
      <c r="F18" s="54"/>
      <c r="G18" s="142" t="s">
        <v>3</v>
      </c>
      <c r="H18" s="55">
        <f>IFERROR(
    _xlfn.LET(
        _xlpm.ecmCount,'User Inputs'!$F$10,
        _xlpm.solarSelected,'User Inputs'!$H$10,
        _xlpm.building,'User Inputs'!$B$10,
        _xlpm.solarApplicable,
        AND(
            _xlpm.building&lt;&gt;'Dev. Notes'!$B$17,
            _xlpm.solarSelected&lt;&gt;'Dev. Notes'!$B$4
        ),
        _xlpm.elecSavings,
        IFERROR('User Inputs'!$B$23-'Calculated Metrics'!$B$8,0),
        _xlpm.gasSavings,
        IF(
            OR(_xlpm.ecmCount="",_xlpm.ecmCount=0,'User Inputs'!$D$23=0),
            0,
            IFERROR('User Inputs'!$D$23-'Calculated Metrics'!$D$8,0)
        ),
        _xlpm.propaneSavings,
        IF(
            OR(_xlpm.ecmCount="",_xlpm.ecmCount=0,'User Inputs'!$F$23=0),
            0,
            IFERROR('User Inputs'!$F$23-'Calculated Metrics'!$F$8,0)
        ),
        _xlpm.oilSavings,
        IF(
            OR(_xlpm.ecmCount="",_xlpm.ecmCount=0,'User Inputs'!$H$23=0),
            0,
            IFERROR('User Inputs'!$H$23-'Calculated Metrics'!$H$8,0)
        ),
        _xlpm.coalSavings,
        IF(
            OR(_xlpm.ecmCount="",_xlpm.ecmCount=0,'User Inputs'!$J$23=0),
            0,
            IFERROR('User Inputs'!$J$23-'Calculated Metrics'!$J$8,0)
        ),
        _xlpm.invalidRates,
        OR(
            AND(_xlpm.elecSavings&lt;&gt;0,OR(NOT(ISNUMBER('User Inputs'!$B$28)),'User Inputs'!$B$28&lt;0)),
            AND(_xlpm.gasSavings&lt;&gt;0,OR(NOT(ISNUMBER('User Inputs'!$D$28)),'User Inputs'!$D$28&lt;0)),
            AND(_xlpm.propaneSavings&lt;&gt;0,OR(NOT(ISNUMBER('User Inputs'!$F$28)),'User Inputs'!$F$28&lt;0)),
            AND(_xlpm.oilSavings&lt;&gt;0,OR(NOT(ISNUMBER('User Inputs'!$H$28)),'User Inputs'!$H$28&lt;0)),
            AND(_xlpm.coalSavings&lt;&gt;0,OR(NOT(ISNUMBER('User Inputs'!$J$28)),'User Inputs'!$J$28&lt;0))
        ),
        IF(
            AND(
                OR(_xlpm.ecmCount="",_xlpm.ecmCount=0),
                NOT(_xlpm.solarApplicable)
            ),
            "Add ECMs or Solar in cell F10 or H10",
            IF(
                _xlpm.invalidRates,
                "Check default rates in row 27",
                _xlpm.elecSavings*'User Inputs'!$B$28+
                _xlpm.gasSavings*'User Inputs'!$D$28+
                _xlpm.propaneSavings*'User Inputs'!$F$28+
                _xlpm.oilSavings*'User Inputs'!$H$28+
                _xlpm.coalSavings*'User Inputs'!$J$28
            )
        )
    ),
    "Check savings inputs in rows 22-27"
)</f>
        <v>0</v>
      </c>
      <c r="I18" s="151" t="s">
        <v>20</v>
      </c>
      <c r="J18" s="56" t="str">
        <f>IF(
    ISTEXT($H$18),
    $H$18,
    IF(
        $J$12&lt;0,
        "Project cost is negative. Check rows 55 and 61",
        IF(
            $J$12=0,
            "Fill in Project Costs",
            IF(
                $H$18&lt;=0,
                "N/A - Annual Cost Savings are zero or negative",
                $J$12/$H$18
            )
        )
    )
)</f>
        <v>Fill in Project Costs</v>
      </c>
    </row>
    <row r="19" spans="1:12" ht="13.5" customHeight="1" x14ac:dyDescent="0.45">
      <c r="A19" s="139"/>
      <c r="B19" s="141"/>
      <c r="C19" s="140"/>
      <c r="D19" s="141"/>
      <c r="E19" s="140"/>
      <c r="F19" s="141"/>
      <c r="G19" s="141"/>
      <c r="H19" s="141"/>
      <c r="I19" s="140"/>
      <c r="J19" s="141"/>
    </row>
    <row r="20" spans="1:12" ht="39.9" customHeight="1" x14ac:dyDescent="0.5">
      <c r="A20" s="152" t="s">
        <v>55</v>
      </c>
      <c r="B20" s="153"/>
      <c r="C20" s="153"/>
      <c r="D20" s="153"/>
      <c r="E20" s="153"/>
      <c r="F20" s="153"/>
      <c r="G20" s="153"/>
      <c r="H20" s="153"/>
      <c r="I20" s="153"/>
      <c r="J20" s="154"/>
    </row>
    <row r="21" spans="1:12" ht="13.5" customHeight="1" x14ac:dyDescent="0.45">
      <c r="A21" s="130"/>
      <c r="B21" s="131"/>
      <c r="C21" s="132"/>
      <c r="D21" s="131"/>
      <c r="E21" s="132"/>
      <c r="F21" s="131"/>
      <c r="G21" s="131"/>
      <c r="H21" s="131"/>
      <c r="I21" s="132"/>
      <c r="J21" s="133"/>
    </row>
    <row r="22" spans="1:12" ht="105" customHeight="1" x14ac:dyDescent="0.45">
      <c r="A22" s="147" t="s">
        <v>189</v>
      </c>
      <c r="B22" s="155">
        <f>IF(
    IFERROR(VALUE('User Inputs'!$F$10),0)=0,
    0,
    SUM(
        IF(
            'User Inputs'!$F$10&gt;=1,
            IFERROR(
                (
                    INDEX(
                        'Embedded Values'!$D$22:$D$33,
                        MATCH(
                            'User Inputs'!$B$34,
                            'Embedded Values'!$B$22:$B$33,
                            0
                        )
                    )="Electrification"
                )*'User Inputs'!$B$52,
                0
            ),
            0
        ),
        IF(
            'User Inputs'!$F$10&gt;=2,
            IFERROR(
                (
                    INDEX(
                        'Embedded Values'!$D$22:$D$33,
                        MATCH(
                            'User Inputs'!$D$34,
                            'Embedded Values'!$B$22:$B$33,
                            0
                        )
                    )="Electrification"
                )*'User Inputs'!$D$52,
                0
            ),
            0
        ),
        IF(
            'User Inputs'!$F$10&gt;=3,
            IFERROR(
                (
                    INDEX(
                        'Embedded Values'!$D$22:$D$33,
                        MATCH(
                            'User Inputs'!$F$34,
                            'Embedded Values'!$B$22:$B$33,
                            0
                        )
                    )="Electrification"
                )*'User Inputs'!$F$52,
                0
            ),
            0
        ),
        IF(
            'User Inputs'!$F$10&gt;=4,
            IFERROR(
                (
                    INDEX(
                        'Embedded Values'!$D$22:$D$33,
                        MATCH(
                            'User Inputs'!$H$34,
                            'Embedded Values'!$B$22:$B$33,
                            0
                        )
                    )="Electrification"
                )*'User Inputs'!$H$52,
                0
            ),
            0
        )
    )
)</f>
        <v>0</v>
      </c>
      <c r="C22" s="148" t="s">
        <v>190</v>
      </c>
      <c r="D22" s="155">
        <f>IF(
    IFERROR(VALUE('User Inputs'!$F$10),0)=0,
    0,
    SUM(
        IF(
            'User Inputs'!$F$10&gt;=1,
            IFERROR(
                (
                    INDEX(
                        'Embedded Values'!$D$22:$D$33,
                        MATCH(
                            'User Inputs'!$B$34,
                            'Embedded Values'!$B$22:$B$33,
                            0
                        )
                    )="Energy Efficiency"
                )*'User Inputs'!$B$52,
                0
            ),
            0
        ),
        IF(
            'User Inputs'!$F$10&gt;=2,
            IFERROR(
                (
                    INDEX(
                        'Embedded Values'!$D$22:$D$33,
                        MATCH(
                            'User Inputs'!$D$34,
                            'Embedded Values'!$B$22:$B$33,
                            0
                        )
                    )="Energy Efficiency"
                )*'User Inputs'!$D$52,
                0
            ),
            0
        ),
        IF(
            'User Inputs'!$F$10&gt;=3,
            IFERROR(
                (
                    INDEX(
                        'Embedded Values'!$D$22:$D$33,
                        MATCH(
                            'User Inputs'!$F$34,
                            'Embedded Values'!$B$22:$B$33,
                            0
                        )
                    )="Energy Efficiency"
                )*'User Inputs'!$F$52,
                0
            ),
            0
        ),
        IF(
            'User Inputs'!$F$10&gt;=4,
            IFERROR(
                (
                    INDEX(
                        'Embedded Values'!$D$22:$D$33,
                        MATCH(
                            'User Inputs'!$H$34,
                            'Embedded Values'!$B$22:$B$33,
                            0
                        )
                    )="Energy Efficiency"
                )*'User Inputs'!$H$52,
                0
            ),
            0
        )
    )
)</f>
        <v>0</v>
      </c>
      <c r="E22" s="148" t="s">
        <v>191</v>
      </c>
      <c r="F22" s="155" cm="1">
        <f t="array" ref="F22">IF(
    OR(
        'User Inputs'!$B$10='Dev. Notes'!$B$17,
        'User Inputs'!$H$10='Dev. Notes'!$B$4
    ),
    0,
    _xlfn.SWITCH(
        'User Inputs'!$H$10,
        'Dev. Notes'!$B$5,IFERROR(--'User Inputs'!$H$58,0),
        'Dev. Notes'!$B$6,IFERROR(--'User Inputs'!$H$60,0),
        'Dev. Notes'!$B$7,
            IFERROR(--'User Inputs'!$H$58,0)
            +IFERROR(--'User Inputs'!$H$60,0),
        0
    )
)</f>
        <v>0</v>
      </c>
      <c r="G22" s="374" t="str" cm="1">
        <f t="array" ref="G22">_xlfn.LET(
    _xlpm.reduction,IFERROR(--$B$38,0),
    _xlpm.incentiveRate,IFERROR(--$B$24,0),
    _xlpm.building,'User Inputs'!$B$10,
    _xlpm.prefix,"¹ ",
    _xlpm.sectionRow,
    _xlfn.SWITCH(
        _xlpm.building,
        'Dev. Notes'!$B$17,ROW('MEA Incentives'!$A$4),
        'Dev. Notes'!$B$18,ROW('MEA Incentives'!$A$13),
        'Dev. Notes'!$B$19,ROW('MEA Incentives'!$A$22),
        'Dev. Notes'!$B$20,ROW('MEA Incentives'!$A$31),
        'Dev. Notes'!$B$21,ROW('MEA Incentives'!$A$31),
        0
    ),
    _xlpm.incentiveColumn,
    COLUMN('MEA Incentives'!$B$4),
    _xlpm.minimumRow,
    IF(
        _xlpm.sectionRow=0,
        0,
        _xlpm.sectionRow+4
    ),
    _xlpm.maximumRow,
    IF(
        _xlpm.sectionRow=0,
        0,
        _xlpm.sectionRow+5
    ),
    _xlpm.minimumGrant,
    IF(
        _xlpm.minimumRow=0,
        0,
        IFERROR(
            INDEX(
                'MEA Incentives'!$A:$D,
                _xlpm.minimumRow,
                _xlpm.incentiveColumn
            ),
            0
        )
    ),
    _xlpm.maximumGrant,
    IF(
        _xlpm.maximumRow=0,
        0,
        IFERROR(
            INDEX(
                'MEA Incentives'!$A:$D,
                _xlpm.maximumRow,
                _xlpm.incentiveColumn
            ),
            0
        )
    ),
    _xlpm.calculatedGrant,
    _xlpm.reduction*_xlpm.incentiveRate,
    _xlpm.evaluatedGrant,
    MIN(
        _xlpm.calculatedGrant,
        _xlpm.maximumGrant
    ),
    _xlpm.limitedByMaximum,
    _xlpm.maximumGrant&lt;_xlpm.calculatedGrant,
    IF(
        AND(
            _xlpm.reduction&gt;0,
            _xlpm.reduction&lt;200
        ),
        _xlpm.prefix&amp;
        _xlfn._LONGTEXT("The calculated Electrification incentive is $0 because the projected lifetime greenhouse gas emissions reduction is less than the minimum program threshold of 200 MTCO₂e. Projects must achieve at least 200 MTCO₂e in lifetime emissions reductions to qualif","y for an Electrification incentive."),
        IF(
            OR(
                _xlpm.reduction&lt;=0,
                _xlpm.incentiveRate&lt;=0,
                _xlpm.sectionRow=0,
                _xlpm.minimumGrant&lt;=0
            ),
            "",
            IF(
                _xlpm.evaluatedGrant&lt;_xlpm.minimumGrant,
                _xlpm.prefix&amp;
                "The calculated Electrification incentive of $"&amp;
                TEXT(_xlpm.calculatedGrant,"#,##0")&amp;
                " is below the Minimum Grant Amount of $"&amp;
                TEXT(_xlpm.minimumGrant,"#,##0")&amp;
                ". The applicant's proposed scope of work does not qualify for the minimum grant amount and is ineligible for the program. The calculated amount is shown for transparency and evaluation purposes.",
                IF(
                    _xlpm.limitedByMaximum,
                    _xlpm.prefix&amp;
                    "The calculated Electrification incentive of $"&amp;
                    TEXT(_xlpm.calculatedGrant,"#,##0")&amp;
                    " exceeded the Maximum Grant Amount of $"&amp;
                    TEXT(_xlpm.maximumGrant,"#,##0")&amp;
                    " and has been capped at $"&amp;
                    TEXT(_xlpm.evaluatedGrant,"#,##0")&amp;
                    _xlfn._LONGTEXT(". The final evaluated incentive meets the minimum grant requirement and is within the applicable measure-level funding limit. This incentive is still subject to the project-level Total Project Cost% Cap applied at the Total MEA Grant Request calculation b","elow."),
                    _xlpm.prefix&amp;
                    "The calculated Electrification incentive of $"&amp;
                    TEXT(_xlpm.evaluatedGrant,"#,##0")&amp;
                    " meets the minimum grant requirement and is within the applicable measure-level funding limit. This incentive is still subject to the project-level Total Project Cost% Cap applied at the Total MEA Grant Request calculation below."
                )
            )
        )
    )
)</f>
        <v/>
      </c>
      <c r="H22" s="374"/>
      <c r="I22" s="374"/>
      <c r="J22" s="375"/>
    </row>
    <row r="23" spans="1:12" ht="13.5" customHeight="1" x14ac:dyDescent="0.3">
      <c r="A23" s="130"/>
      <c r="B23" s="131"/>
      <c r="C23" s="132"/>
      <c r="D23" s="131"/>
      <c r="E23" s="132"/>
      <c r="F23" s="131"/>
      <c r="G23" s="131"/>
      <c r="H23" s="131"/>
      <c r="I23" s="132"/>
      <c r="J23" s="133"/>
      <c r="L23" s="29"/>
    </row>
    <row r="24" spans="1:12" ht="104.25" customHeight="1" x14ac:dyDescent="0.3">
      <c r="A24" s="147" t="s">
        <v>278</v>
      </c>
      <c r="B24" s="155" cm="1">
        <f t="array" ref="B24">_xlfn.LET(
    _xlpm.reduction,IFERROR(--$B$38,0),
    _xlpm.building,'User Inputs'!$B$10,
    _xlpm.sectionRow,
    _xlfn.SWITCH(
        _xlpm.building,
        'Dev. Notes'!$B$17,ROW('MEA Incentives'!$A$4),
        'Dev. Notes'!$B$18,ROW('MEA Incentives'!$A$13),
        'Dev. Notes'!$B$19,ROW('MEA Incentives'!$A$22),
        'Dev. Notes'!$B$20,ROW('MEA Incentives'!$A$31),
        'Dev. Notes'!$B$21,ROW('MEA Incentives'!$A$31),
        0
    ),
    _xlpm.tierRow,
    IF(
        OR(
            _xlpm.sectionRow=0,
            _xlpm.reduction&lt;200
        ),
        0,
        IF(
            _xlpm.reduction&lt;=2499,
            _xlpm.sectionRow+1,
            IF(
                _xlpm.reduction&lt;=4999,
                _xlpm.sectionRow+2,
                _xlpm.sectionRow+3
            )
        )
    ),
    _xlpm.rateColumn,
    COLUMN('MEA Incentives'!$B$4),
    _xlpm.bonusColumn,
    COLUMN('MEA Incentives'!$D$4),
    _xlpm.baseRate,
    IF(
        _xlpm.tierRow=0,
        0,
        IFERROR(
            INDEX(
                'MEA Incentives'!$A:$D,
                _xlpm.tierRow,
                _xlpm.rateColumn
            ),
            0
        )
    ),
    _xlpm.bonusEligible,
    IF(
        OR(
            _xlpm.building='Dev. Notes'!$B$17,
            _xlpm.building='Dev. Notes'!$B$18
        ),
        'User Inputs'!$B$12="Yes",
        _xlpm.building='Dev. Notes'!$B$21
    ),
    _xlpm.bonusRate,
    IF(
        OR(
            _xlpm.tierRow=0,
            NOT(_xlpm.bonusEligible)
        ),
        0,
        IFERROR(
            INDEX(
                'MEA Incentives'!$A:$D,
                _xlpm.tierRow,
                _xlpm.bonusColumn
            ),
            0
        )
    ),
    _xlpm.baseRate+_xlpm.bonusRate
)</f>
        <v>0</v>
      </c>
      <c r="C24" s="148" t="s">
        <v>279</v>
      </c>
      <c r="D24" s="155" cm="1">
        <f t="array" ref="D24">_xlfn.LET(
    _xlpm.reduction,IFERROR(--$D$38,0),
    _xlpm.building,'User Inputs'!$B$10,
    _xlpm.sectionRow,
    _xlfn.SWITCH(
        _xlpm.building,
        'Dev. Notes'!$B$17,ROW('MEA Incentives'!$A$4),
        'Dev. Notes'!$B$18,ROW('MEA Incentives'!$A$13),
        'Dev. Notes'!$B$19,ROW('MEA Incentives'!$A$22),
        'Dev. Notes'!$B$20,ROW('MEA Incentives'!$A$31),
        'Dev. Notes'!$B$21,ROW('MEA Incentives'!$A$31),
        0
    ),
    _xlpm.tierRow,
    IF(
        OR(
            _xlpm.sectionRow=0,
            _xlpm.reduction&lt;200
        ),
        0,
        IF(
            _xlpm.reduction&lt;=2499,
            _xlpm.sectionRow+1,
            IF(
                _xlpm.reduction&lt;=4999,
                _xlpm.sectionRow+2,
                _xlpm.sectionRow+3
            )
        )
    ),
    _xlpm.rateColumn,
    COLUMN('MEA Incentives'!$C$4),
    _xlpm.bonusColumn,
    COLUMN('MEA Incentives'!$D$4),
    _xlpm.baseRate,
    IF(
        _xlpm.tierRow=0,
        0,
        IFERROR(
            INDEX(
                'MEA Incentives'!$A:$D,
                _xlpm.tierRow,
                _xlpm.rateColumn
            ),
            0
        )
    ),
    _xlpm.bonusEligible,
    IF(
        OR(
            _xlpm.building='Dev. Notes'!$B$17,
            _xlpm.building='Dev. Notes'!$B$18
        ),
        'User Inputs'!$B$12="Yes",
        _xlpm.building='Dev. Notes'!$B$21
    ),
    _xlpm.bonusRate,
    IF(
        OR(
            _xlpm.tierRow=0,
            NOT(_xlpm.bonusEligible)
        ),
        0,
        IFERROR(
            INDEX(
                'MEA Incentives'!$A:$D,
                _xlpm.tierRow,
                _xlpm.bonusColumn
            ),
            0
        )
    ),
    _xlpm.baseRate+_xlpm.bonusRate
)</f>
        <v>0</v>
      </c>
      <c r="E24" s="148" t="s">
        <v>280</v>
      </c>
      <c r="F24" s="156" t="str" cm="1">
        <f t="array" ref="F24">_xlfn.LET(
    _xlpm.solarType,'User Inputs'!$H$10,
    _xlpm.building,'User Inputs'!$B$10,
    _xlpm.groundRate,IFERROR(--'Dev. Notes'!$C$41,0),
    _xlpm.canopyRate,IFERROR(--'Dev. Notes'!$C$42,0),
    IF(
        OR(
            _xlpm.building='Dev. Notes'!$B$17,
            _xlpm.solarType='Dev. Notes'!$B$4
        ),
        "",
        _xlfn.SWITCH(
            _xlpm.solarType,
            'Dev. Notes'!$B$5,
            _xlpm.groundRate,
            'Dev. Notes'!$B$6,
            _xlpm.canopyRate,
            'Dev. Notes'!$B$7,
            "Ground: $"&amp;
            TEXT(_xlpm.groundRate,"#,##0")&amp;
            "/kW"&amp;
            CHAR(10)&amp;
            "Canopy: $"&amp;
            TEXT(_xlpm.canopyRate,"#,##0")&amp;
            "/kW",
            ""
        )
    )
)</f>
        <v/>
      </c>
      <c r="G24" s="374" t="str" cm="1">
        <f t="array" ref="G24">_xlfn.LET(
_xlpm.reduction,IFERROR(--$D$38,0),
_xlpm.rate,IFERROR(--$D$24,0),
_xlpm.building,'User Inputs'!$B$10,
_xlpm.onlyMI,'Dev. Notes'!$B$25,
_xlpm.projectCost,IFERROR(--$D$22,0),
_xlpm.prefix,"² ",
_xlpm.srow,
_xlfn.SWITCH(
_xlpm.building,
'Dev. Notes'!$B$17,ROW('MEA Incentives'!$A$4),
'Dev. Notes'!$B$18,ROW('MEA Incentives'!$A$13),
'Dev. Notes'!$B$19,ROW('MEA Incentives'!$A$22),
'Dev. Notes'!$B$20,ROW('MEA Incentives'!$A$31),
'Dev. Notes'!$B$21,ROW('MEA Incentives'!$A$31),
0
),
_xlpm.col,
COLUMN('MEA Incentives'!$C$4),
_xlpm.minrow,
IF(
_xlpm.srow=0,
0,
_xlpm.srow+4
),
_xlpm.maxrow,
IF(
_xlpm.srow=0,
0,
_xlpm.srow+5
),
_xlpm.standardMin,
IF(
_xlpm.minrow=0,
0,
IFERROR(
INDEX(
'MEA Incentives'!$A:$D,
_xlpm.minrow,
_xlpm.col
),
0
)
),
_xlpm.standardMax,
IF(
_xlpm.maxrow=0,
0,
IFERROR(
INDEX(
'MEA Incentives'!$A:$D,
_xlpm.maxrow,
_xlpm.col
),
0
)
),
_xlpm.miMin,
IFERROR(
--'MEA Incentives'!$B$65,
0
),
_xlpm.miMax,
IFERROR(
--'MEA Incentives'!$B$66,
0
),
_xlpm.miPctCap,
IFERROR(
--'MEA Incentives'!$B$67,
0
),
_xlpm.miMinProjectCost,
IFERROR(
--'MEA Incentives'!$B$68,
0
),
_xlpm.minGrant,
IF(
_xlpm.onlyMI,
_xlpm.miMin,
_xlpm.standardMin
),
_xlpm.maxGrant,
IF(
_xlpm.onlyMI,
MIN(
_xlpm.miMax,
_xlpm.projectCost*_xlpm.miPctCap
),
_xlpm.standardMax
),
_xlpm.calculated,
_xlpm.reduction*_xlpm.rate,
_xlpm.evaluated,
MIN(
_xlpm.calculated,
_xlpm.maxGrant
),
_xlpm.limitedByMax,
_xlpm.maxGrant&lt;_xlpm.calculated,
IF(
AND(
_xlpm.reduction&gt;0,
_xlpm.reduction&lt;200
),
_xlpm.prefix&amp;
_xlfn._LONGTEXT("The calculated Energy Efficiency incentive is $0 because the projected lifetime greenhouse gas emissions reduction is less than the minimum program threshold of 200 MTCO₂e. Projects must achieve at least 200 MTCO₂e in lifetime emissions reductions to qual","ify for an Energy Efficiency incentive."),
IF(
AND(
_xlpm.onlyMI,
_xlpm.projectCost&lt;_xlpm.miMinProjectCost
),
_xlpm.prefix&amp;
"The Mechanical Insulation project is ineligible because the total project cost of $"&amp;
TEXT(_xlpm.projectCost,"#,##0")&amp;
" is below the Minimum Project Cost of $"&amp;
TEXT(_xlpm.miMinProjectCost,"#,##0")&amp;
".",
IF(
OR(
_xlpm.reduction&lt;=0,
_xlpm.rate&lt;=0,
_xlpm.srow=0,
_xlpm.minGrant&lt;=0
),
"",
IF(
_xlpm.evaluated&lt;_xlpm.minGrant,
_xlpm.prefix&amp;
"The calculated Energy Efficiency incentive of $"&amp;
TEXT(_xlpm.calculated,"#,##0")&amp;
" is below the Minimum Grant Amount of $"&amp;
TEXT(_xlpm.minGrant,"#,##0")&amp;
". The proposed scope does not qualify for the minimum grant amount and is ineligible. The calculated amount is shown for evaluation purposes.",
IF(
_xlpm.onlyMI,
IF(
_xlpm.limitedByMax,
_xlpm.prefix&amp;
"The calculated Energy Efficiency incentive of $"&amp;
TEXT(_xlpm.calculated,"#,##0")&amp;
" exceeds the applicable Mechanical Insulation funding limit and has been capped at $"&amp;
TEXT(_xlpm.evaluated,"#,##0")&amp;
", which is the lesser of "&amp;
TEXT(_xlpm.miPctCap,"0%")&amp;
" of total qualified project costs or the $"&amp;
TEXT(_xlpm.miMax,"#,##0")&amp;
" Maximum Grant Amount. This incentive is still subject to the project-level Total Project Cost% Cap applied at the Total MEA Grant Request calculation below.",
_xlpm.prefix&amp;
"The calculated Mechanical Insulation incentive of $"&amp;
TEXT(_xlpm.evaluated,"#,##0")&amp;
" meets the minimum grant requirement and is within the applicable measure-level funding limit. This incentive is still subject to the project-level Total Project Cost% Cap applied at the Total MEA Grant Request calculation below."
),
IF(
_xlpm.limitedByMax,
_xlpm.prefix&amp;
"The calculated Energy Efficiency incentive of $"&amp;
TEXT(_xlpm.calculated,"#,##0")&amp;
" exceeded the Maximum Grant Amount of $"&amp;
TEXT(_xlpm.maxGrant,"#,##0")&amp;
" and has been capped at $"&amp;
TEXT(_xlpm.evaluated,"#,##0")&amp;
_xlfn._LONGTEXT(". The final evaluated incentive meets the minimum grant requirement and is within the applicable measure-level funding limit. This incentive is still subject to the project-level Total Project Cost% Cap applied at the Total MEA Grant Request calculation b","elow."),
_xlpm.prefix&amp;
"The calculated Energy Efficiency incentive of $"&amp;
TEXT(_xlpm.evaluated,"#,##0")&amp;
" meets the minimum grant requirement and is within the applicable measure-level funding limit. This incentive is still subject to the project-level Total Project Cost% Cap applied at the Total MEA Grant Request calculation below."
)
)
)
)
)
)
)</f>
        <v/>
      </c>
      <c r="H24" s="374"/>
      <c r="I24" s="374"/>
      <c r="J24" s="375"/>
      <c r="L24" s="29"/>
    </row>
    <row r="25" spans="1:12" ht="13.5" customHeight="1" x14ac:dyDescent="0.3">
      <c r="A25" s="130"/>
      <c r="B25" s="131"/>
      <c r="C25" s="132"/>
      <c r="D25" s="131"/>
      <c r="E25" s="132"/>
      <c r="F25" s="131"/>
      <c r="G25" s="131"/>
      <c r="H25" s="131"/>
      <c r="I25" s="132"/>
      <c r="J25" s="133"/>
      <c r="L25" s="29"/>
    </row>
    <row r="26" spans="1:12" ht="150" customHeight="1" x14ac:dyDescent="0.3">
      <c r="A26" s="147" t="s">
        <v>281</v>
      </c>
      <c r="B26" s="155" cm="1">
        <f t="array" ref="B26">_xlfn.LET(
    _xlpm.reduction,IFERROR(--$B$38,0),
    _xlpm.incentiveRate,IFERROR(--$B$24,0),
    _xlpm.building,'User Inputs'!$B$10,
    _xlpm.sectionRow,
    _xlfn.SWITCH(
        _xlpm.building,
        'Dev. Notes'!$B$17,ROW('MEA Incentives'!$A$4),
        'Dev. Notes'!$B$18,ROW('MEA Incentives'!$A$13),
        'Dev. Notes'!$B$19,ROW('MEA Incentives'!$A$22),
        'Dev. Notes'!$B$20,ROW('MEA Incentives'!$A$31),
        'Dev. Notes'!$B$21,ROW('MEA Incentives'!$A$31),
        0
    ),
    _xlpm.incentiveColumn,
    COLUMN('MEA Incentives'!$B$4),
    _xlpm.minimumRow,
    IF(
        _xlpm.sectionRow=0,
        0,
        _xlpm.sectionRow+4
    ),
    _xlpm.maximumRow,
    IF(
        _xlpm.sectionRow=0,
        0,
        _xlpm.sectionRow+5
    ),
    _xlpm.minimumGrant,
    IF(
        _xlpm.minimumRow=0,
        0,
        IFERROR(
            INDEX(
                'MEA Incentives'!$A:$D,
                _xlpm.minimumRow,
                _xlpm.incentiveColumn
            ),
            0
        )
    ),
    _xlpm.maximumGrant,
    IF(
        _xlpm.maximumRow=0,
        0,
        IFERROR(
            INDEX(
                'MEA Incentives'!$A:$D,
                _xlpm.maximumRow,
                _xlpm.incentiveColumn
            ),
            0
        )
    ),
    _xlpm.calculatedGrant,
    _xlpm.reduction*_xlpm.incentiveRate,
    _xlpm.cappedGrant,
    MIN(
        _xlpm.calculatedGrant,
        _xlpm.maximumGrant
    ),
    IF(
        OR(
            _xlpm.reduction&lt;=0,
            _xlpm.incentiveRate&lt;=0,
            _xlpm.sectionRow=0,
            _xlpm.minimumGrant&lt;=0,
            _xlpm.cappedGrant&lt;_xlpm.minimumGrant
        ),
        0,
        _xlpm.cappedGrant
    )
)</f>
        <v>0</v>
      </c>
      <c r="C26" s="148" t="s">
        <v>282</v>
      </c>
      <c r="D26" s="155" cm="1">
        <f t="array" ref="D26">_xlfn.LET(
    _xlpm.reduction,IFERROR(--$D$38,0),
    _xlpm.rate,IFERROR(--$D$24,0),
    _xlpm.building,'User Inputs'!$B$10,
    _xlpm.onlyMI,'Dev. Notes'!$B$25,
    _xlpm.projectCost,IFERROR(--$D$22,0),
    _xlpm.srow,
    _xlfn.SWITCH(
        _xlpm.building,
        'Dev. Notes'!$B$17,ROW('MEA Incentives'!$A$4),
        'Dev. Notes'!$B$18,ROW('MEA Incentives'!$A$13),
        'Dev. Notes'!$B$19,ROW('MEA Incentives'!$A$22),
        'Dev. Notes'!$B$20,ROW('MEA Incentives'!$A$31),
        'Dev. Notes'!$B$21,ROW('MEA Incentives'!$A$31),
        0
    ),
    _xlpm.col,
    COLUMN('MEA Incentives'!$C$4),
    _xlpm.minrow,
    IF(
        _xlpm.srow=0,
        0,
        _xlpm.srow+4
    ),
    _xlpm.maxrow,
    IF(
        _xlpm.srow=0,
        0,
        _xlpm.srow+5
    ),
    _xlpm.standardMin,
    IF(
        _xlpm.minrow=0,
        0,
        IFERROR(
            INDEX(
                'MEA Incentives'!$A:$D,
                _xlpm.minrow,
                _xlpm.col
            ),
            0
        )
    ),
    _xlpm.standardMax,
    IF(
        _xlpm.maxrow=0,
        0,
        IFERROR(
            INDEX(
                'MEA Incentives'!$A:$D,
                _xlpm.maxrow,
                _xlpm.col
            ),
            0
        )
    ),
    _xlpm.miMin,
    IFERROR(
        --'MEA Incentives'!$B$65,
        0
    ),
    _xlpm.miMax,
    IFERROR(
        --'MEA Incentives'!$B$66,
        0
    ),
    _xlpm.miPctCap,
    IFERROR(
        --'MEA Incentives'!$B$67,
        0
    ),
    _xlpm.miMinProjectCost,
    IFERROR(
        --'MEA Incentives'!$B$68,
        0
    ),
    _xlpm.calculated,
    _xlpm.reduction*_xlpm.rate,
    _xlpm.minGrant,
    IF(
        _xlpm.onlyMI,
        _xlpm.miMin,
        _xlpm.standardMin
    ),
    _xlpm.maxGrant,
    IF(
        _xlpm.onlyMI,
        MIN(
            _xlpm.miMax,
            _xlpm.projectCost*_xlpm.miPctCap
        ),
        _xlpm.standardMax
    ),
    _xlpm.finalGrant,
    MIN(
        _xlpm.calculated,
        _xlpm.maxGrant
    ),
    IF(
        OR(
            _xlpm.reduction&lt;=0,
            _xlpm.rate&lt;=0,
            _xlpm.srow=0,
            _xlpm.minGrant&lt;=0,
            AND(
                _xlpm.onlyMI,
                _xlpm.projectCost&lt;_xlpm.miMinProjectCost
            ),
            _xlpm.finalGrant&lt;_xlpm.minGrant
        ),
        0,
        _xlpm.finalGrant
    )
)</f>
        <v>0</v>
      </c>
      <c r="E26" s="148" t="s">
        <v>283</v>
      </c>
      <c r="F26" s="155">
        <f>'Dev. Notes'!$C$48+'Dev. Notes'!$C$50</f>
        <v>0</v>
      </c>
      <c r="G26" s="374" t="str" cm="1">
        <f t="array" ref="G26">_xlfn.LET(
_xlpm.solarType,'User Inputs'!$H$10,
_xlpm.prefix,"³ ",
_xlpm.groundRaw,'Dev. Notes'!$C$47,
_xlpm.groundEligible,'Dev. Notes'!$C$48,
_xlpm.groundMin,'Dev. Notes'!$C$43,
_xlpm.groundMax,'Dev. Notes'!$C$44,
_xlpm.canopyRaw,'Dev. Notes'!$C$49,
_xlpm.canopyEligible,'Dev. Notes'!$C$50,
_xlpm.canopyMin,'Dev. Notes'!$C$45,
_xlpm.canopyMax,'Dev. Notes'!$C$46,
_xlpm.projectCapNote,
" This incentive is still subject to the project-level Total Project Cost% Cap applied at the Total MEA Grant Request calculation below.",
_xlpm.groundMessage,
IF(
_xlpm.groundRaw&lt;=0,
"",
IF(
_xlpm.groundEligible=0,
"The calculated Ground Mount/Rooftop Solar incentive of $"&amp;
TEXT(_xlpm.groundRaw,"#,##0")&amp;
" is below the Minimum Grant Amount of $"&amp;
TEXT(_xlpm.groundMin,"#,##0")&amp;
". The proposed Ground Mount/Rooftop scope does not qualify for the minimum grant amount and is ineligible.",
IF(
_xlpm.groundRaw&gt;_xlpm.groundMax,
"The calculated Ground Mount/Rooftop Solar incentive of $"&amp;
TEXT(_xlpm.groundRaw,"#,##0")&amp;
" exceeded the Maximum Grant Amount of $"&amp;
TEXT(_xlpm.groundMax,"#,##0")&amp;
" and has been capped at $"&amp;
TEXT(_xlpm.groundEligible,"#,##0")&amp;
".",
"The calculated Ground Mount/Rooftop Solar incentive of $"&amp;
TEXT(_xlpm.groundEligible,"#,##0")&amp;
" meets the minimum grant requirement and is within the applicable measure-level funding limit."
)
)
),
_xlpm.canopyMessage,
IF(
_xlpm.canopyRaw&lt;=0,
"",
IF(
_xlpm.canopyEligible=0,
"The calculated Solar Canopy incentive of $"&amp;
TEXT(_xlpm.canopyRaw,"#,##0")&amp;
" is below the Minimum Grant Amount of $"&amp;
TEXT(_xlpm.canopyMin,"#,##0")&amp;
". The proposed Solar Canopy scope does not qualify for the minimum grant amount and is ineligible.",
IF(
_xlpm.canopyRaw&gt;_xlpm.canopyMax,
"The calculated Solar Canopy incentive of $"&amp;
TEXT(_xlpm.canopyRaw,"#,##0")&amp;
" exceeded the Maximum Grant Amount of $"&amp;
TEXT(_xlpm.canopyMax,"#,##0")&amp;
" and has been capped at $"&amp;
TEXT(_xlpm.canopyEligible,"#,##0")&amp;
".",
"The calculated Solar Canopy incentive of $"&amp;
TEXT(_xlpm.canopyEligible,"#,##0")&amp;
" meets the minimum grant requirement and is within the applicable measure-level funding limit."
)
)
),
IF(
OR(
'User Inputs'!$B$10='Dev. Notes'!$B$17,
_xlpm.solarType='Dev. Notes'!$B$4
),
"",
_xlfn.SWITCH(
_xlpm.solarType,
'Dev. Notes'!$B$5,
_xlpm.prefix&amp;
_xlpm.groundMessage&amp;
_xlpm.projectCapNote,
'Dev. Notes'!$B$6,
_xlpm.prefix&amp;
_xlpm.canopyMessage&amp;
_xlpm.projectCapNote,
'Dev. Notes'!$B$7,
_xlpm.prefix&amp;
_xlpm.groundMessage&amp;
CHAR(10)&amp;
_xlpm.canopyMessage&amp;
CHAR(10)&amp;
"The total calculated Solar incentive is $"&amp;
TEXT(_xlpm.groundEligible+_xlpm.canopyEligible,"#,##0")&amp;
"."&amp;
_xlpm.projectCapNote,
""
)
)
)</f>
        <v/>
      </c>
      <c r="H26" s="374"/>
      <c r="I26" s="374"/>
      <c r="J26" s="375"/>
      <c r="L26" s="29"/>
    </row>
    <row r="27" spans="1:12" ht="21.9" customHeight="1" x14ac:dyDescent="0.3">
      <c r="A27" s="123"/>
      <c r="B27" s="124"/>
      <c r="C27" s="125"/>
      <c r="D27" s="124"/>
      <c r="E27" s="157" t="s">
        <v>223</v>
      </c>
      <c r="F27" s="158"/>
      <c r="G27" s="158"/>
      <c r="H27" s="158"/>
      <c r="I27" s="157"/>
      <c r="J27" s="159"/>
      <c r="L27" s="29"/>
    </row>
    <row r="28" spans="1:12" ht="90" customHeight="1" x14ac:dyDescent="0.3">
      <c r="A28" s="123"/>
      <c r="B28" s="124"/>
      <c r="C28" s="125"/>
      <c r="D28" s="124"/>
      <c r="E28" s="160" t="str">
        <f>'User Inputs'!$I$65</f>
        <v>Solar PV Requested Grant Amount per kW</v>
      </c>
      <c r="F28" s="155" t="str">
        <f>'User Inputs'!$J$65</f>
        <v/>
      </c>
      <c r="G28" s="376" t="str">
        <f>'User Inputs'!$A$65</f>
        <v/>
      </c>
      <c r="H28" s="376"/>
      <c r="I28" s="376"/>
      <c r="J28" s="377"/>
      <c r="L28" s="29"/>
    </row>
    <row r="29" spans="1:12" ht="21.9" customHeight="1" x14ac:dyDescent="0.3">
      <c r="A29" s="123"/>
      <c r="B29" s="124"/>
      <c r="C29" s="125"/>
      <c r="D29" s="124"/>
      <c r="E29" s="157" t="s">
        <v>224</v>
      </c>
      <c r="F29" s="158"/>
      <c r="G29" s="158"/>
      <c r="H29" s="158"/>
      <c r="I29" s="157"/>
      <c r="J29" s="159"/>
      <c r="L29" s="29"/>
    </row>
    <row r="30" spans="1:12" ht="90" customHeight="1" x14ac:dyDescent="0.3">
      <c r="A30" s="124"/>
      <c r="B30" s="124"/>
      <c r="C30" s="124"/>
      <c r="D30" s="124"/>
      <c r="E30" s="160" t="str">
        <f>'User Inputs'!$I$67</f>
        <v>Solar PV Requested Grant Amount per kW</v>
      </c>
      <c r="F30" s="155" t="str">
        <f>'User Inputs'!$J$67</f>
        <v/>
      </c>
      <c r="G30" s="378" t="str">
        <f>'User Inputs'!$A$67</f>
        <v/>
      </c>
      <c r="H30" s="378"/>
      <c r="I30" s="378"/>
      <c r="J30" s="379"/>
      <c r="L30" s="29"/>
    </row>
    <row r="31" spans="1:12" ht="13.5" customHeight="1" x14ac:dyDescent="0.3">
      <c r="A31" s="123"/>
      <c r="B31" s="124"/>
      <c r="C31" s="125"/>
      <c r="D31" s="124"/>
      <c r="E31" s="125"/>
      <c r="F31" s="124"/>
      <c r="G31" s="124"/>
      <c r="H31" s="124"/>
      <c r="I31" s="125"/>
      <c r="J31" s="138"/>
      <c r="L31" s="29"/>
    </row>
    <row r="32" spans="1:12" ht="93" customHeight="1" x14ac:dyDescent="0.3">
      <c r="A32" s="141"/>
      <c r="B32" s="141"/>
      <c r="C32" s="141"/>
      <c r="D32" s="141"/>
      <c r="E32" s="161" t="s">
        <v>66</v>
      </c>
      <c r="F32" s="162" t="str" cm="1">
        <f t="array" ref="F32">_xlfn.LET(
    _xlpm.totalCalculatedGrant,SUM($B$26,$D$26,$F$26),
    _xlpm.totalProjectCost,IFERROR(--$J$12,0),
    _xlpm.building,'User Inputs'!$B$10,
    _xlpm.sectionRow,
    _xlfn.SWITCH(
        _xlpm.building,
        'Dev. Notes'!$B$17,ROW('MEA Incentives'!$A$4),
        'Dev. Notes'!$B$18,ROW('MEA Incentives'!$A$13),
        'Dev. Notes'!$B$19,ROW('MEA Incentives'!$A$22),
        'Dev. Notes'!$B$20,ROW('MEA Incentives'!$A$31),
        'Dev. Notes'!$B$21,ROW('MEA Incentives'!$A$31),
        0
    ),
    _xlpm.incentiveColumn,
    COLUMN('MEA Incentives'!$B$4),
    _xlpm.percentageCapRow,
    IF(
        _xlpm.sectionRow=0,
        0,
        _xlpm.sectionRow+6
    ),
    _xlpm.projectCostPercentage,
    IF(
        _xlpm.percentageCapRow=0,
        0,
        IFERROR(
            INDEX(
                'MEA Incentives'!$A:$D,
                _xlpm.percentageCapRow,
                _xlpm.incentiveColumn
            ),
            0
        )
    ),
    _xlpm.projectCostCap,
    _xlpm.totalProjectCost*_xlpm.projectCostPercentage,
    IF(
        _xlpm.building="",
        "Select building type in cell B10 of user inputs",
        IF(
            _xlpm.totalProjectCost&lt;0,
            "Project costs in rows 55-61 of user inputs must be &gt; 0",
            IF(
                _xlpm.totalProjectCost=0,
                "Enter project costs in rows 55-61 of user inputs",
                IF(
                    _xlpm.totalCalculatedGrant&lt;=0,
                    "Ineligible. See cells G22-26 of calculated metrics for why",
                    IF(
                        OR(
                            _xlpm.sectionRow=0,
                            _xlpm.projectCostPercentage&lt;=0
                        ),
                        "MEA Incentives tab error, ensure grant cap % &gt; 0",
                        MIN(
                            _xlpm.totalCalculatedGrant,
                            _xlpm.projectCostCap
                        )
                    )
                )
            )
        )
    )
)</f>
        <v>Select building type in cell B10 of user inputs</v>
      </c>
      <c r="G32" s="380" t="str">
        <f>_xlfn.LET(
    _xlpm.uncappedTotal,SUM($B$26,$D$26,$F$26),
    _xlpm.cappedTotal,IFERROR(--$F$32,0),
    IF(
        _xlpm.uncappedTotal&lt;=0,
        "",
        IF(
            _xlpm.uncappedTotal&gt;_xlpm.cappedTotal,
            "The combined calculated incentives total $"&amp;
            TEXT(_xlpm.uncappedTotal,"#,##0")&amp;
            ". This amount exceeds the applicable Total Project Cost% Cap and has been capped at $"&amp;
            TEXT(_xlpm.cappedTotal,"#,##0")&amp;
            ". The resulting value represents the requested amount for which the project may qualify, not the final award amount.",
            "The Total MEA Grant Request of $"&amp;
            TEXT(_xlpm.cappedTotal,"#,##0")&amp;
            " is within the applicable Total Project Cost% Cap. This value represents the requested amount for which the project may qualify, not the final award amount."
        )
    )
)</f>
        <v/>
      </c>
      <c r="H32" s="381"/>
      <c r="I32" s="381"/>
      <c r="J32" s="382"/>
      <c r="L32" s="29"/>
    </row>
    <row r="33" spans="1:12" ht="13.5" customHeight="1" x14ac:dyDescent="0.45">
      <c r="A33" s="163"/>
      <c r="B33" s="164"/>
      <c r="C33" s="163"/>
      <c r="D33" s="164"/>
      <c r="E33" s="163"/>
      <c r="F33" s="164"/>
      <c r="G33" s="124"/>
      <c r="H33" s="124"/>
      <c r="I33" s="125"/>
      <c r="J33" s="124"/>
    </row>
    <row r="34" spans="1:12" ht="39.9" customHeight="1" x14ac:dyDescent="0.5">
      <c r="A34" s="126" t="s">
        <v>56</v>
      </c>
      <c r="B34" s="127"/>
      <c r="C34" s="127"/>
      <c r="D34" s="127"/>
      <c r="E34" s="127"/>
      <c r="F34" s="127"/>
      <c r="G34" s="127"/>
      <c r="H34" s="127"/>
      <c r="I34" s="127"/>
      <c r="J34" s="136"/>
    </row>
    <row r="35" spans="1:12" ht="13.5" customHeight="1" x14ac:dyDescent="0.45">
      <c r="A35" s="123"/>
      <c r="B35" s="124"/>
      <c r="C35" s="125"/>
      <c r="D35" s="124"/>
      <c r="E35" s="125"/>
      <c r="F35" s="124"/>
      <c r="G35" s="124"/>
      <c r="H35" s="124"/>
      <c r="I35" s="125"/>
      <c r="J35" s="138"/>
    </row>
    <row r="36" spans="1:12" ht="120" customHeight="1" x14ac:dyDescent="0.45">
      <c r="A36" s="147" t="s">
        <v>183</v>
      </c>
      <c r="B36" s="49">
        <f>IF(
    OR('User Inputs'!$F$10="",'User Inputs'!$F$10=0),
    0,
    SUM(
        IF(
            'User Inputs'!$F$10&gt;=1,
            IFERROR(
                --(
                    INDEX(
                        'Embedded Values'!$D$22:$D$33,
                        MATCH(
                            'User Inputs'!$B$34,
                            'Embedded Values'!$B$22:$B$33,
                            0
                        )
                    )="Electrification"
                )*
                (
                    IF(
                        N('User Inputs'!$B$23)&gt;0,
                        'User Inputs'!$B$41*'Embedded Values'!$D$5,
                        0
                    )+
                    IF(
                        N('User Inputs'!$D$23)&gt;0,
                        'User Inputs'!$D$41*'Embedded Values'!$D$6,
                        0
                    )+
                    IF(
                        N('User Inputs'!$F$23)&gt;0,
                        'User Inputs'!$F$41*'Embedded Values'!$D$7,
                        0
                    )+
                    IF(
                        N('User Inputs'!$H$23)&gt;0,
                        'User Inputs'!$H$41*'Embedded Values'!$D$8,
                        0
                    )+
                    IF(
                        N('User Inputs'!$J$23)&gt;0,
                        'User Inputs'!$J$41*'Embedded Values'!$D$9,
                        0
                    )
                ),
                0
            ),
            0
        ),
        IF(
            'User Inputs'!$F$10&gt;=2,
            IFERROR(
                --(
                    INDEX(
                        'Embedded Values'!$D$22:$D$33,
                        MATCH(
                            'User Inputs'!$D$34,
                            'Embedded Values'!$B$22:$B$33,
                            0
                        )
                    )="Electrification"
                )*
                (
                    IF(
                        N('User Inputs'!$B$23)&gt;0,
                        'User Inputs'!$B$43*'Embedded Values'!$D$5,
                        0
                    )+
                    IF(
                        N('User Inputs'!$D$23)&gt;0,
                        'User Inputs'!$D$43*'Embedded Values'!$D$6,
                        0
                    )+
                    IF(
                        N('User Inputs'!$F$23)&gt;0,
                        'User Inputs'!$F$43*'Embedded Values'!$D$7,
                        0
                    )+
                    IF(
                        N('User Inputs'!$H$23)&gt;0,
                        'User Inputs'!$H$43*'Embedded Values'!$D$8,
                        0
                    )+
                    IF(
                        N('User Inputs'!$J$23)&gt;0,
                        'User Inputs'!$J$43*'Embedded Values'!$D$9,
                        0
                    )
                ),
                0
            ),
            0
        ),
        IF(
            'User Inputs'!$F$10&gt;=3,
            IFERROR(
                --(
                    INDEX(
                        'Embedded Values'!$D$22:$D$33,
                        MATCH(
                            'User Inputs'!$F$34,
                            'Embedded Values'!$B$22:$B$33,
                            0
                        )
                    )="Electrification"
                )*
                (
                    IF(
                        N('User Inputs'!$B$23)&gt;0,
                        'User Inputs'!$B$45*'Embedded Values'!$D$5,
                        0
                    )+
                    IF(
                        N('User Inputs'!$D$23)&gt;0,
                        'User Inputs'!$D$45*'Embedded Values'!$D$6,
                        0
                    )+
                    IF(
                        N('User Inputs'!$F$23)&gt;0,
                        'User Inputs'!$F$45*'Embedded Values'!$D$7,
                        0
                    )+
                    IF(
                        N('User Inputs'!$H$23)&gt;0,
                        'User Inputs'!$H$45*'Embedded Values'!$D$8,
                        0
                    )+
                    IF(
                        N('User Inputs'!$J$23)&gt;0,
                        'User Inputs'!$J$45*'Embedded Values'!$D$9,
                        0
                    )
                ),
                0
            ),
            0
        ),
        IF(
            'User Inputs'!$F$10&gt;=4,
            IFERROR(
                --(
                    INDEX(
                        'Embedded Values'!$D$22:$D$33,
                        MATCH(
                            'User Inputs'!$H$34,
                            'Embedded Values'!$B$22:$B$33,
                            0
                        )
                    )="Electrification"
                )*
                (
                    IF(
                        N('User Inputs'!$B$23)&gt;0,
                        'User Inputs'!$B$47*'Embedded Values'!$D$5,
                        0
                    )+
                    IF(
                        N('User Inputs'!$D$23)&gt;0,
                        'User Inputs'!$D$47*'Embedded Values'!$D$6,
                        0
                    )+
                    IF(
                        N('User Inputs'!$F$23)&gt;0,
                        'User Inputs'!$F$47*'Embedded Values'!$D$7,
                        0
                    )+
                    IF(
                        N('User Inputs'!$H$23)&gt;0,
                        'User Inputs'!$H$47*'Embedded Values'!$D$8,
                        0
                    )+
                    IF(
                        N('User Inputs'!$J$23)&gt;0,
                        'User Inputs'!$J$47*'Embedded Values'!$D$9,
                        0
                    )
                ),
                0
            ),
            0
        )
    )
)</f>
        <v>0</v>
      </c>
      <c r="C36" s="148" t="s">
        <v>185</v>
      </c>
      <c r="D36" s="49">
        <f>IF(
    OR('User Inputs'!$F$10="",'User Inputs'!$F$10=0),
    0,
    SUM(
        IF(
            'User Inputs'!$F$10&gt;=1,
            IFERROR(
                (
                    INDEX(
                        'Embedded Values'!$D$22:$D$33,
                        MATCH(
                            'User Inputs'!$B$34,
                            'Embedded Values'!$B$22:$B$33,
                            0
                        )
                    )="Energy Efficiency"
                )*
                (
                    IF(
                        N('User Inputs'!$B$23)&gt;0,
                        'User Inputs'!$B$41*'Embedded Values'!$D$5,
                        0
                    )+
                    IF(
                        N('User Inputs'!$D$23)&gt;0,
                        'User Inputs'!$D$41*'Embedded Values'!$D$6,
                        0
                    )+
                    IF(
                        N('User Inputs'!$F$23)&gt;0,
                        'User Inputs'!$F$41*'Embedded Values'!$D$7,
                        0
                    )+
                    IF(
                        N('User Inputs'!$H$23)&gt;0,
                        'User Inputs'!$H$41*'Embedded Values'!$D$8,
                        0
                    )+
                    IF(
                        N('User Inputs'!$J$23)&gt;0,
                        'User Inputs'!$J$41*'Embedded Values'!$D$9,
                        0
                    )
                ),
                0
            ),
            0
        ),
        IF(
            'User Inputs'!$F$10&gt;=2,
            IFERROR(
                (
                    INDEX(
                        'Embedded Values'!$D$22:$D$33,
                        MATCH(
                            'User Inputs'!$D$34,
                            'Embedded Values'!$B$22:$B$33,
                            0
                        )
                    )="Energy Efficiency"
                )*
                (
                    IF(
                        N('User Inputs'!$B$23)&gt;0,
                        'User Inputs'!$B$43*'Embedded Values'!$D$5,
                        0
                    )+
                    IF(
                        N('User Inputs'!$D$23)&gt;0,
                        'User Inputs'!$D$43*'Embedded Values'!$D$6,
                        0
                    )+
                    IF(
                        N('User Inputs'!$F$23)&gt;0,
                        'User Inputs'!$F$43*'Embedded Values'!$D$7,
                        0
                    )+
                    IF(
                        N('User Inputs'!$H$23)&gt;0,
                        'User Inputs'!$H$43*'Embedded Values'!$D$8,
                        0
                    )+
                    IF(
                        N('User Inputs'!$J$23)&gt;0,
                        'User Inputs'!$J$43*'Embedded Values'!$D$9,
                        0
                    )
                ),
                0
            ),
            0
        ),
        IF(
            'User Inputs'!$F$10&gt;=3,
            IFERROR(
                (
                    INDEX(
                        'Embedded Values'!$D$22:$D$33,
                        MATCH(
                            'User Inputs'!$F$34,
                            'Embedded Values'!$B$22:$B$33,
                            0
                        )
                    )="Energy Efficiency"
                )*
                (
                    IF(
                        N('User Inputs'!$B$23)&gt;0,
                        'User Inputs'!$B$45*'Embedded Values'!$D$5,
                        0
                    )+
                    IF(
                        N('User Inputs'!$D$23)&gt;0,
                        'User Inputs'!$D$45*'Embedded Values'!$D$6,
                        0
                    )+
                    IF(
                        N('User Inputs'!$F$23)&gt;0,
                        'User Inputs'!$F$45*'Embedded Values'!$D$7,
                        0
                    )+
                    IF(
                        N('User Inputs'!$H$23)&gt;0,
                        'User Inputs'!$H$45*'Embedded Values'!$D$8,
                        0
                    )+
                    IF(
                        N('User Inputs'!$J$23)&gt;0,
                        'User Inputs'!$J$45*'Embedded Values'!$D$9,
                        0
                    )
                ),
                0
            ),
            0
        ),
        IF(
            'User Inputs'!$F$10&gt;=4,
            IFERROR(
                (
                    INDEX(
                        'Embedded Values'!$D$22:$D$33,
                        MATCH(
                            'User Inputs'!$H$34,
                            'Embedded Values'!$B$22:$B$33,
                            0
                        )
                    )="Energy Efficiency"
                )*
                (
                    IF(
                        N('User Inputs'!$B$23)&gt;0,
                        'User Inputs'!$B$47*'Embedded Values'!$D$5,
                        0
                    )+
                    IF(
                        N('User Inputs'!$D$23)&gt;0,
                        'User Inputs'!$D$47*'Embedded Values'!$D$6,
                        0
                    )+
                    IF(
                        N('User Inputs'!$F$23)&gt;0,
                        'User Inputs'!$F$47*'Embedded Values'!$D$7,
                        0
                    )+
                    IF(
                        N('User Inputs'!$H$23)&gt;0,
                        'User Inputs'!$H$47*'Embedded Values'!$D$8,
                        0
                    )+
                    IF(
                        N('User Inputs'!$J$23)&gt;0,
                        'User Inputs'!$J$47*'Embedded Values'!$D$9,
                        0
                    )
                ),
                0
            ),
            0
        )
    )
)</f>
        <v>0</v>
      </c>
      <c r="E36" s="148" t="s">
        <v>187</v>
      </c>
      <c r="F36" s="49" cm="1">
        <f t="array" ref="F36">IF(
    OR(
        'User Inputs'!$B$10='Dev. Notes'!$B$17,
        'User Inputs'!$H$10='Dev. Notes'!$B$4
    ),
    0,
    _xlfn.SWITCH(
        'User Inputs'!$H$10,
        'Dev. Notes'!$B$5,
            IFERROR(--'User Inputs'!$F$58,0)*'Embedded Values'!$D$5,
        'Dev. Notes'!$B$6,
            IFERROR(--'User Inputs'!$F$60,0)*'Embedded Values'!$D$5,
        'Dev. Notes'!$B$7,
            (
                IFERROR(--'User Inputs'!$F$58,0)
                +IFERROR(--'User Inputs'!$F$60,0)
            )*'Embedded Values'!$D$5,
        0
    )
)</f>
        <v>0</v>
      </c>
      <c r="G36" s="165"/>
      <c r="H36" s="165"/>
      <c r="I36" s="166" t="s">
        <v>58</v>
      </c>
      <c r="J36" s="57">
        <f>SUM($B$36,$D$36,$F$36)</f>
        <v>0</v>
      </c>
    </row>
    <row r="37" spans="1:12" ht="13.5" customHeight="1" x14ac:dyDescent="0.45">
      <c r="A37" s="123"/>
      <c r="B37" s="51"/>
      <c r="C37" s="125"/>
      <c r="D37" s="51"/>
      <c r="E37" s="125"/>
      <c r="F37" s="51"/>
      <c r="G37" s="165"/>
      <c r="H37" s="165"/>
      <c r="I37" s="167"/>
      <c r="J37" s="58"/>
    </row>
    <row r="38" spans="1:12" ht="120" customHeight="1" x14ac:dyDescent="0.45">
      <c r="A38" s="168" t="s">
        <v>184</v>
      </c>
      <c r="B38" s="46">
        <f>IF(
    OR('User Inputs'!$F$10="",'User Inputs'!$F$10=0),
    0,
    SUM(
        IF(
            'User Inputs'!$F$10&gt;=1,
            IFERROR(
                (INDEX(
                    'Embedded Values'!$D$22:$D$33,
                    MATCH(
                        'User Inputs'!$B$34,
                        'Embedded Values'!$B$22:$B$33,
                        0
                    )
                )="Electrification")
                *
                (
                    IF(
                        N('User Inputs'!$B$23)&gt;0,
                        'User Inputs'!$B$41*'Embedded Values'!$D$5,
                        0
                    )
                    +
                    IF(
                        N('User Inputs'!$D$23)&gt;0,
                        'User Inputs'!$D$41*'Embedded Values'!$D$6,
                        0
                    )
                    +
                    IF(
                        N('User Inputs'!$F$23)&gt;0,
                        'User Inputs'!$F$41*'Embedded Values'!$D$7,
                        0
                    )
                    +
                    IF(
                        N('User Inputs'!$H$23)&gt;0,
                        'User Inputs'!$H$41*'Embedded Values'!$D$8,
                        0
                    )
                    +
                    IF(
                        N('User Inputs'!$J$23)&gt;0,
                        'User Inputs'!$J$41*'Embedded Values'!$D$9,
                        0
                    )
                )
                *
                INDEX(
                    'Embedded Values'!$C$22:$C$33,
                    MATCH(
                        'User Inputs'!$B$34,
                        'Embedded Values'!$B$22:$B$33,
                        0
                    )
                ),
                0
            ),
            0
        ),
        IF(
            'User Inputs'!$F$10&gt;=2,
            IFERROR(
                (INDEX(
                    'Embedded Values'!$D$22:$D$33,
                    MATCH(
                        'User Inputs'!$D$34,
                        'Embedded Values'!$B$22:$B$33,
                        0
                    )
                )="Electrification")
                *
                (
                    IF(
                        N('User Inputs'!$B$23)&gt;0,
                        'User Inputs'!$B$43*'Embedded Values'!$D$5,
                        0
                    )
                    +
                    IF(
                        N('User Inputs'!$D$23)&gt;0,
                        'User Inputs'!$D$43*'Embedded Values'!$D$6,
                        0
                    )
                    +
                    IF(
                        N('User Inputs'!$F$23)&gt;0,
                        'User Inputs'!$F$43*'Embedded Values'!$D$7,
                        0
                    )
                    +
                    IF(
                        N('User Inputs'!$H$23)&gt;0,
                        'User Inputs'!$H$43*'Embedded Values'!$D$8,
                        0
                    )
                    +
                    IF(
                        N('User Inputs'!$J$23)&gt;0,
                        'User Inputs'!$J$43*'Embedded Values'!$D$9,
                        0
                    )
                )
                *
                INDEX(
                    'Embedded Values'!$C$22:$C$33,
                    MATCH(
                        'User Inputs'!$D$34,
                        'Embedded Values'!$B$22:$B$33,
                        0
                    )
                ),
                0
            ),
            0
        ),
        IF(
            'User Inputs'!$F$10&gt;=3,
            IFERROR(
                (INDEX(
                    'Embedded Values'!$D$22:$D$33,
                    MATCH(
                        'User Inputs'!$F$34,
                        'Embedded Values'!$B$22:$B$33,
                        0
                    )
                )="Electrification")
                *
                (
                    IF(
                        N('User Inputs'!$B$23)&gt;0,
                        'User Inputs'!$B$45*'Embedded Values'!$D$5,
                        0
                    )
                    +
                    IF(
                        N('User Inputs'!$D$23)&gt;0,
                        'User Inputs'!$D$45*'Embedded Values'!$D$6,
                        0
                    )
                    +
                    IF(
                        N('User Inputs'!$F$23)&gt;0,
                        'User Inputs'!$F$45*'Embedded Values'!$D$7,
                        0
                    )
                    +
                    IF(
                        N('User Inputs'!$H$23)&gt;0,
                        'User Inputs'!$H$45*'Embedded Values'!$D$8,
                        0
                    )
                    +
                    IF(
                        N('User Inputs'!$J$23)&gt;0,
                        'User Inputs'!$J$45*'Embedded Values'!$D$9,
                        0
                    )
                )
                *
                INDEX(
                    'Embedded Values'!$C$22:$C$33,
                    MATCH(
                        'User Inputs'!$F$34,
                        'Embedded Values'!$B$22:$B$33,
                        0
                    )
                ),
                0
            ),
            0
        ),
        IF(
            'User Inputs'!$F$10&gt;=4,
            IFERROR(
                (INDEX(
                    'Embedded Values'!$D$22:$D$33,
                    MATCH(
                        'User Inputs'!$H$34,
                        'Embedded Values'!$B$22:$B$33,
                        0
                    )
                )="Electrification")
                *
                (
                    IF(
                        N('User Inputs'!$B$23)&gt;0,
                        'User Inputs'!$B$47*'Embedded Values'!$D$5,
                        0
                    )
                    +
                    IF(
                        N('User Inputs'!$D$23)&gt;0,
                        'User Inputs'!$D$47*'Embedded Values'!$D$6,
                        0
                    )
                    +
                    IF(
                        N('User Inputs'!$F$23)&gt;0,
                        'User Inputs'!$F$47*'Embedded Values'!$D$7,
                        0
                    )
                    +
                    IF(
                        N('User Inputs'!$H$23)&gt;0,
                        'User Inputs'!$H$47*'Embedded Values'!$D$8,
                        0
                    )
                    +
                    IF(
                        N('User Inputs'!$J$23)&gt;0,
                        'User Inputs'!$J$47*'Embedded Values'!$D$9,
                        0
                    )
                )
                *
                INDEX(
                    'Embedded Values'!$C$22:$C$33,
                    MATCH(
                        'User Inputs'!$H$34,
                        'Embedded Values'!$B$22:$B$33,
                        0
                    )
                ),
                0
            ),
            0
        )
    )
)</f>
        <v>0</v>
      </c>
      <c r="C38" s="169" t="s">
        <v>186</v>
      </c>
      <c r="D38" s="46">
        <f>IF(
    OR('User Inputs'!$F$10="",'User Inputs'!$F$10=0),
    0,
    SUM(
        IF(
            'User Inputs'!$F$10&gt;=1,
            IFERROR(
                (INDEX(
                    'Embedded Values'!$D$22:$D$33,
                    MATCH(
                        'User Inputs'!$B$34,
                        'Embedded Values'!$B$22:$B$33,
                        0
                    )
                )="Energy Efficiency")
                *
                (
                    IF(
                        N('User Inputs'!$B$23)&gt;0,
                        'User Inputs'!$B$41*'Embedded Values'!$D$5,
                        0
                    )
                    +
                    IF(
                        N('User Inputs'!$D$23)&gt;0,
                        'User Inputs'!$D$41*'Embedded Values'!$D$6,
                        0
                    )
                    +
                    IF(
                        N('User Inputs'!$F$23)&gt;0,
                        'User Inputs'!$F$41*'Embedded Values'!$D$7,
                        0
                    )
                    +
                    IF(
                        N('User Inputs'!$H$23)&gt;0,
                        'User Inputs'!$H$41*'Embedded Values'!$D$8,
                        0
                    )
                    +
                    IF(
                        N('User Inputs'!$J$23)&gt;0,
                        'User Inputs'!$J$41*'Embedded Values'!$D$9,
                        0
                    )
                )
                *
                INDEX(
                    'Embedded Values'!$C$22:$C$33,
                    MATCH(
                        'User Inputs'!$B$34,
                        'Embedded Values'!$B$22:$B$33,
                        0
                    )
                ),
                0
            ),
            0
        ),
        IF(
            'User Inputs'!$F$10&gt;=2,
            IFERROR(
                (INDEX(
                    'Embedded Values'!$D$22:$D$33,
                    MATCH(
                        'User Inputs'!$D$34,
                        'Embedded Values'!$B$22:$B$33,
                        0
                    )
                )="Energy Efficiency")
                *
                (
                    IF(
                        N('User Inputs'!$B$23)&gt;0,
                        'User Inputs'!$B$43*'Embedded Values'!$D$5,
                        0
                    )
                    +
                    IF(
                        N('User Inputs'!$D$23)&gt;0,
                        'User Inputs'!$D$43*'Embedded Values'!$D$6,
                        0
                    )
                    +
                    IF(
                        N('User Inputs'!$F$23)&gt;0,
                        'User Inputs'!$F$43*'Embedded Values'!$D$7,
                        0
                    )
                    +
                    IF(
                        N('User Inputs'!$H$23)&gt;0,
                        'User Inputs'!$H$43*'Embedded Values'!$D$8,
                        0
                    )
                    +
                    IF(
                        N('User Inputs'!$J$23)&gt;0,
                        'User Inputs'!$J$43*'Embedded Values'!$D$9,
                        0
                    )
                )
                *
                INDEX(
                    'Embedded Values'!$C$22:$C$33,
                    MATCH(
                        'User Inputs'!$D$34,
                        'Embedded Values'!$B$22:$B$33,
                        0
                    )
                ),
                0
            ),
            0
        ),
        IF(
            'User Inputs'!$F$10&gt;=3,
            IFERROR(
                (INDEX(
                    'Embedded Values'!$D$22:$D$33,
                    MATCH(
                        'User Inputs'!$F$34,
                        'Embedded Values'!$B$22:$B$33,
                        0
                    )
                )="Energy Efficiency")
                *
                (
                    IF(
                        N('User Inputs'!$B$23)&gt;0,
                        'User Inputs'!$B$45*'Embedded Values'!$D$5,
                        0
                    )
                    +
                    IF(
                        N('User Inputs'!$D$23)&gt;0,
                        'User Inputs'!$D$45*'Embedded Values'!$D$6,
                        0
                    )
                    +
                    IF(
                        N('User Inputs'!$F$23)&gt;0,
                        'User Inputs'!$F$45*'Embedded Values'!$D$7,
                        0
                    )
                    +
                    IF(
                        N('User Inputs'!$H$23)&gt;0,
                        'User Inputs'!$H$45*'Embedded Values'!$D$8,
                        0
                    )
                    +
                    IF(
                        N('User Inputs'!$J$23)&gt;0,
                        'User Inputs'!$J$45*'Embedded Values'!$D$9,
                        0
                    )
                )
                *
                INDEX(
                    'Embedded Values'!$C$22:$C$33,
                    MATCH(
                        'User Inputs'!$F$34,
                        'Embedded Values'!$B$22:$B$33,
                        0
                    )
                ),
                0
            ),
            0
        ),
        IF(
            'User Inputs'!$F$10&gt;=4,
            IFERROR(
                (INDEX(
                    'Embedded Values'!$D$22:$D$33,
                    MATCH(
                        'User Inputs'!$H$34,
                        'Embedded Values'!$B$22:$B$33,
                        0
                    )
                )="Energy Efficiency")
                *
                (
                    IF(
                        N('User Inputs'!$B$23)&gt;0,
                        'User Inputs'!$B$47*'Embedded Values'!$D$5,
                        0
                    )
                    +
                    IF(
                        N('User Inputs'!$D$23)&gt;0,
                        'User Inputs'!$D$47*'Embedded Values'!$D$6,
                        0
                    )
                    +
                    IF(
                        N('User Inputs'!$F$23)&gt;0,
                        'User Inputs'!$F$47*'Embedded Values'!$D$7,
                        0
                    )
                    +
                    IF(
                        N('User Inputs'!$H$23)&gt;0,
                        'User Inputs'!$H$47*'Embedded Values'!$D$8,
                        0
                    )
                    +
                    IF(
                        N('User Inputs'!$J$23)&gt;0,
                        'User Inputs'!$J$47*'Embedded Values'!$D$9,
                        0
                    )
                )
                *
                INDEX(
                    'Embedded Values'!$C$22:$C$33,
                    MATCH(
                        'User Inputs'!$H$34,
                        'Embedded Values'!$B$22:$B$33,
                        0
                    )
                ),
                0
            ),
            0
        )
    )
)</f>
        <v>0</v>
      </c>
      <c r="E38" s="169" t="s">
        <v>188</v>
      </c>
      <c r="F38" s="46">
        <f>IF(
    $F$36&lt;=0,
    0,
    $F$36*'Embedded Values'!$C$33
)</f>
        <v>0</v>
      </c>
      <c r="G38" s="170"/>
      <c r="H38" s="170"/>
      <c r="I38" s="142" t="s">
        <v>59</v>
      </c>
      <c r="J38" s="56">
        <f>SUM($B$38,$D$38,$F$38)</f>
        <v>0</v>
      </c>
    </row>
    <row r="39" spans="1:12" ht="13.5" customHeight="1" x14ac:dyDescent="0.3">
      <c r="A39" s="100"/>
      <c r="B39" s="100"/>
      <c r="C39" s="100"/>
      <c r="D39" s="100"/>
      <c r="E39" s="100"/>
      <c r="F39" s="100"/>
      <c r="G39" s="100"/>
      <c r="H39" s="100"/>
      <c r="I39" s="100"/>
      <c r="J39" s="100"/>
      <c r="L39" s="29"/>
    </row>
    <row r="40" spans="1:12" ht="18" customHeight="1" x14ac:dyDescent="0.45">
      <c r="A40" s="101"/>
      <c r="B40" s="101"/>
      <c r="C40" s="101"/>
      <c r="D40" s="101"/>
      <c r="E40" s="101"/>
      <c r="F40" s="101"/>
      <c r="G40" s="101"/>
      <c r="H40" s="101"/>
      <c r="I40" s="101"/>
      <c r="J40" s="101"/>
    </row>
    <row r="41" spans="1:12" ht="7.5" customHeight="1" x14ac:dyDescent="0.3">
      <c r="A41" s="102"/>
      <c r="B41" s="102"/>
      <c r="C41" s="102"/>
      <c r="D41" s="102"/>
      <c r="E41" s="102"/>
      <c r="F41" s="102"/>
      <c r="G41" s="102"/>
      <c r="H41" s="102"/>
      <c r="I41" s="102"/>
      <c r="J41" s="102"/>
      <c r="L41" s="29"/>
    </row>
  </sheetData>
  <sheetProtection algorithmName="SHA-512" hashValue="ArIa2QvT49r6oPhtAPj0I2AYqmieMzjoQwfhesaGgWlV6A2zXrl1ysS95d6o5vs/PxiperR6rtnaeT5qM6biWg==" saltValue="7OcdejjzLOt7otxSVQBjoQ==" spinCount="100000" sheet="1" objects="1" scenarios="1"/>
  <mergeCells count="8">
    <mergeCell ref="G26:J26"/>
    <mergeCell ref="G28:J28"/>
    <mergeCell ref="G30:J30"/>
    <mergeCell ref="G32:J32"/>
    <mergeCell ref="A3:J3"/>
    <mergeCell ref="G22:J22"/>
    <mergeCell ref="G24:J24"/>
    <mergeCell ref="A4:J4"/>
  </mergeCells>
  <conditionalFormatting sqref="B8">
    <cfRule type="expression" dxfId="33" priority="39">
      <formula>ISTEXT($B$8)</formula>
    </cfRule>
  </conditionalFormatting>
  <conditionalFormatting sqref="B18">
    <cfRule type="expression" dxfId="32" priority="15">
      <formula>ISTEXT($B$18)</formula>
    </cfRule>
  </conditionalFormatting>
  <conditionalFormatting sqref="D8">
    <cfRule type="expression" dxfId="31" priority="38">
      <formula>ISTEXT($D$8)</formula>
    </cfRule>
  </conditionalFormatting>
  <conditionalFormatting sqref="D18">
    <cfRule type="expression" dxfId="30" priority="14">
      <formula>ISTEXT($D$18)</formula>
    </cfRule>
  </conditionalFormatting>
  <conditionalFormatting sqref="F8">
    <cfRule type="expression" dxfId="25" priority="37">
      <formula>ISTEXT($F$8)</formula>
    </cfRule>
  </conditionalFormatting>
  <conditionalFormatting sqref="F32">
    <cfRule type="expression" dxfId="24" priority="18">
      <formula>ISTEXT($F$32)</formula>
    </cfRule>
  </conditionalFormatting>
  <conditionalFormatting sqref="G22">
    <cfRule type="expression" dxfId="23" priority="46">
      <formula>$B$22&gt;0</formula>
    </cfRule>
    <cfRule type="expression" dxfId="22" priority="53">
      <formula>AND(     $G$22&lt;&gt;"",     ISNUMBER(SEARCH("within",$G$22)) )</formula>
    </cfRule>
    <cfRule type="expression" dxfId="21" priority="54">
      <formula>OR(     ISNUMBER(SEARCH("below",$G$22)),     ISNUMBER(SEARCH("exceeded",$G$22)),     ISNUMBER(SEARCH("exceeds",$G$22)),     ISNUMBER(SEARCH("less than",$G$22)),     ISNUMBER(SEARCH("ineligible",$G$22)) )</formula>
    </cfRule>
  </conditionalFormatting>
  <conditionalFormatting sqref="G24">
    <cfRule type="expression" dxfId="20" priority="486">
      <formula>$D$22&gt;0</formula>
    </cfRule>
    <cfRule type="expression" dxfId="19" priority="488">
      <formula>OR(     ISNUMBER(SEARCH("below",$G$24)),     ISNUMBER(SEARCH("exceeded",$G$24)),     ISNUMBER(SEARCH("exceeds",$G$24)),     ISNUMBER(SEARCH("less than",$G$24)),     ISNUMBER(SEARCH("ineligible",$G$24)) )</formula>
    </cfRule>
    <cfRule type="expression" dxfId="18" priority="489">
      <formula>AND(     $G$24&lt;&gt;"",     ISNUMBER(SEARCH("within",$G$24)) )</formula>
    </cfRule>
  </conditionalFormatting>
  <conditionalFormatting sqref="G26">
    <cfRule type="expression" dxfId="17" priority="494">
      <formula>$F$22&gt;0</formula>
    </cfRule>
    <cfRule type="expression" dxfId="16" priority="496">
      <formula>OR(     ISNUMBER(SEARCH("below the Minimum Grant Amount",$G$26)),     ISNUMBER(SEARCH("exceeded the Maximum Grant Amount",$G$26)) )</formula>
    </cfRule>
    <cfRule type="expression" dxfId="15" priority="497">
      <formula>AND(     $G$26&lt;&gt;"",     ISNUMBER(SEARCH("within",$G$26)),     NOT(ISNUMBER(SEARCH("below the Minimum Grant Amount",$G$26))),     NOT(ISNUMBER(SEARCH("exceeded",$G$26))) )</formula>
    </cfRule>
  </conditionalFormatting>
  <conditionalFormatting sqref="G32">
    <cfRule type="expression" dxfId="12" priority="22">
      <formula>OR(     ISNUMBER(SEARCH("exceeds",$G$32)),     ISNUMBER(SEARCH("has been capped",$G$32)) )</formula>
    </cfRule>
    <cfRule type="expression" dxfId="11" priority="23">
      <formula>AND(     $G$32&lt;&gt;"",     ISNUMBER(SEARCH("within the",$G$32)) )</formula>
    </cfRule>
  </conditionalFormatting>
  <conditionalFormatting sqref="G22:J22">
    <cfRule type="expression" dxfId="10" priority="48">
      <formula>OR($B$22=0,$B$22="")</formula>
    </cfRule>
  </conditionalFormatting>
  <conditionalFormatting sqref="G24:J24">
    <cfRule type="expression" dxfId="9" priority="487">
      <formula>OR($D$22=0,$D$22="")</formula>
    </cfRule>
  </conditionalFormatting>
  <conditionalFormatting sqref="G26:J26">
    <cfRule type="expression" dxfId="8" priority="495">
      <formula>OR($F$22=0,$F$22="")</formula>
    </cfRule>
  </conditionalFormatting>
  <conditionalFormatting sqref="H8">
    <cfRule type="expression" dxfId="3" priority="36">
      <formula>ISTEXT($H$8)</formula>
    </cfRule>
  </conditionalFormatting>
  <conditionalFormatting sqref="H18">
    <cfRule type="expression" dxfId="2" priority="13">
      <formula>ISTEXT($H$18)</formula>
    </cfRule>
  </conditionalFormatting>
  <conditionalFormatting sqref="J8">
    <cfRule type="expression" dxfId="1" priority="35">
      <formula>ISTEXT($J$8)</formula>
    </cfRule>
  </conditionalFormatting>
  <conditionalFormatting sqref="J18">
    <cfRule type="expression" dxfId="0" priority="19">
      <formula>ISTEXT($J$18)</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5" id="{2853122F-DDC9-49A2-96A4-B8CD5737AE4D}">
            <xm:f>OR( 'User Inputs'!$H$10='Dev. Notes'!$B$4, 'User Inputs'!$H$10='Dev. Notes'!$B$6, 'User Inputs'!$B$10='Dev. Notes'!$B$17 )</xm:f>
            <x14:dxf>
              <font>
                <color rgb="FFF0F9FA"/>
              </font>
              <fill>
                <patternFill>
                  <bgColor rgb="FFF0F9FA"/>
                </patternFill>
              </fill>
              <border>
                <left/>
                <right/>
                <top/>
                <bottom/>
              </border>
            </x14:dxf>
          </x14:cfRule>
          <xm:sqref>E28:F28</xm:sqref>
        </x14:conditionalFormatting>
        <x14:conditionalFormatting xmlns:xm="http://schemas.microsoft.com/office/excel/2006/main">
          <x14:cfRule type="expression" priority="4" id="{7E328608-C412-494C-A2D9-C59443EBBAE0}">
            <xm:f>OR(     'User Inputs'!$H$10='Dev. Notes'!$B$4,     'User Inputs'!$H$10='Dev. Notes'!$B$5,     'User Inputs'!$B$10='Dev. Notes'!$B$17 )</xm:f>
            <x14:dxf>
              <font>
                <color rgb="FFF0F9FA"/>
              </font>
              <fill>
                <patternFill>
                  <bgColor rgb="FFF0F9FA"/>
                </patternFill>
              </fill>
              <border>
                <left/>
                <right/>
                <bottom/>
                <vertical/>
                <horizontal/>
              </border>
            </x14:dxf>
          </x14:cfRule>
          <xm:sqref>E30:F30</xm:sqref>
        </x14:conditionalFormatting>
        <x14:conditionalFormatting xmlns:xm="http://schemas.microsoft.com/office/excel/2006/main">
          <x14:cfRule type="expression" priority="11" id="{F28BA6A4-4977-4A15-89AF-46D57BF523D8}">
            <xm:f>OR(     'User Inputs'!$H$10='Dev. Notes'!$B$4,     'User Inputs'!$H$10='Dev. Notes'!$B$6,     'User Inputs'!$B$10='Dev. Notes'!$B$17 )</xm:f>
            <x14:dxf>
              <font>
                <color rgb="FFF0F9FA"/>
              </font>
              <border>
                <bottom/>
                <vertical/>
                <horizontal/>
              </border>
            </x14:dxf>
          </x14:cfRule>
          <xm:sqref>E27:J27</xm:sqref>
        </x14:conditionalFormatting>
        <x14:conditionalFormatting xmlns:xm="http://schemas.microsoft.com/office/excel/2006/main">
          <x14:cfRule type="expression" priority="5" id="{51626A25-6265-42F2-888C-D71A4EB94F67}">
            <xm:f>OR(     'User Inputs'!$H$10='Dev. Notes'!$B$4,     'User Inputs'!$H$10='Dev. Notes'!$B$5,     'User Inputs'!$B$10='Dev. Notes'!$B$17 )</xm:f>
            <x14:dxf>
              <font>
                <color rgb="FFF0F9FA"/>
              </font>
              <border>
                <bottom/>
                <vertical/>
                <horizontal/>
              </border>
            </x14:dxf>
          </x14:cfRule>
          <xm:sqref>E29:J29</xm:sqref>
        </x14:conditionalFormatting>
        <x14:conditionalFormatting xmlns:xm="http://schemas.microsoft.com/office/excel/2006/main">
          <x14:cfRule type="expression" priority="8" id="{184E3A9C-9D44-4525-9034-5F7332F85E9C}">
            <xm:f>ISNUMBER(SEARCH("within",'User Inputs'!$A$65:$H$65))</xm:f>
            <x14:dxf>
              <font>
                <b val="0"/>
                <i val="0"/>
                <color theme="9" tint="-0.24994659260841701"/>
              </font>
            </x14:dxf>
          </x14:cfRule>
          <x14:cfRule type="expression" priority="9" id="{B5DAD226-BC97-4885-9439-C70BFA81D7B1}">
            <xm:f>ISNUMBER(SEARCH("exceeds",'User Inputs'!$A$65:$H$65))</xm:f>
            <x14:dxf>
              <font>
                <b val="0"/>
                <i val="0"/>
                <color theme="8" tint="-0.24994659260841701"/>
              </font>
              <fill>
                <patternFill>
                  <bgColor theme="6" tint="0.79998168889431442"/>
                </patternFill>
              </fill>
            </x14:dxf>
          </x14:cfRule>
          <xm:sqref>G28</xm:sqref>
        </x14:conditionalFormatting>
        <x14:conditionalFormatting xmlns:xm="http://schemas.microsoft.com/office/excel/2006/main">
          <x14:cfRule type="expression" priority="6" id="{A002BB36-2FB9-403C-A200-6C50830153C6}">
            <xm:f>OR( 'User Inputs'!$H$10='Dev. Notes'!$B$4, 'User Inputs'!$H$10='Dev. Notes'!$B$6, 'User Inputs'!$B$10='Dev. Notes'!$B$17 )</xm:f>
            <x14:dxf>
              <font>
                <color rgb="FFF0F9FA"/>
              </font>
              <fill>
                <patternFill>
                  <bgColor rgb="FFF0F9FA"/>
                </patternFill>
              </fill>
              <border>
                <bottom/>
                <vertical/>
                <horizontal/>
              </border>
            </x14:dxf>
          </x14:cfRule>
          <xm:sqref>G28:J28</xm:sqref>
        </x14:conditionalFormatting>
        <x14:conditionalFormatting xmlns:xm="http://schemas.microsoft.com/office/excel/2006/main">
          <x14:cfRule type="expression" priority="517" id="{F6D2CD61-69B4-418F-9950-F6F690D00FCE}">
            <xm:f>ISNUMBER(SEARCH("exceeds",'User Inputs'!$A$67:$H$67))</xm:f>
            <x14:dxf>
              <font>
                <color rgb="FFBE5201"/>
              </font>
              <fill>
                <patternFill>
                  <bgColor rgb="FFFEF2CD"/>
                </patternFill>
              </fill>
            </x14:dxf>
          </x14:cfRule>
          <x14:cfRule type="expression" priority="518" id="{70CF0C4D-1523-4427-A3E8-412722DD5D3F}">
            <xm:f>ISNUMBER(SEARCH("within",'User Inputs'!$A$67:$H$67))</xm:f>
            <x14:dxf>
              <font>
                <color rgb="FF2F9299"/>
              </font>
            </x14:dxf>
          </x14:cfRule>
          <x14:cfRule type="expression" priority="519" id="{9BD98300-7D0B-4256-A044-E22BAF649680}">
            <xm:f>OR(     'User Inputs'!$H$10='Dev. Notes'!$B$4,     'User Inputs'!$H$10='Dev. Notes'!$B$5,     'User Inputs'!$B$10='Dev. Notes'!$B$17 )</xm:f>
            <x14:dxf>
              <font>
                <color rgb="FFF0F9FA"/>
              </font>
              <fill>
                <patternFill>
                  <bgColor rgb="FFF0F9FA"/>
                </patternFill>
              </fill>
              <border>
                <bottom/>
                <vertical/>
                <horizontal/>
              </border>
            </x14:dxf>
          </x14:cfRule>
          <xm:sqref>G30:J30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ACC57-7760-4DF4-B57B-DDEC1704ABF4}">
  <sheetPr>
    <tabColor theme="0" tint="-0.34998626667073579"/>
  </sheetPr>
  <dimension ref="A1:I41"/>
  <sheetViews>
    <sheetView zoomScale="70" zoomScaleNormal="70" zoomScaleSheetLayoutView="70" workbookViewId="0">
      <selection activeCell="D16" sqref="D16"/>
    </sheetView>
  </sheetViews>
  <sheetFormatPr defaultColWidth="8.88671875" defaultRowHeight="13.2" x14ac:dyDescent="0.25"/>
  <cols>
    <col min="2" max="2" width="30.88671875" bestFit="1" customWidth="1"/>
    <col min="3" max="3" width="14.44140625" bestFit="1" customWidth="1"/>
    <col min="4" max="4" width="23" bestFit="1" customWidth="1"/>
    <col min="5" max="5" width="17.109375" bestFit="1" customWidth="1"/>
    <col min="6" max="6" width="22.88671875" bestFit="1" customWidth="1"/>
  </cols>
  <sheetData>
    <row r="1" spans="1:9" ht="36.75" customHeight="1" x14ac:dyDescent="0.45">
      <c r="A1" s="30"/>
      <c r="B1" s="390" t="s">
        <v>180</v>
      </c>
      <c r="C1" s="391"/>
      <c r="D1" s="392"/>
      <c r="E1" s="30"/>
      <c r="F1" s="30"/>
      <c r="G1" s="30"/>
      <c r="H1" s="30"/>
      <c r="I1" s="30"/>
    </row>
    <row r="2" spans="1:9" ht="17.399999999999999" x14ac:dyDescent="0.3">
      <c r="A2" s="30"/>
      <c r="B2" s="30"/>
      <c r="C2" s="30"/>
      <c r="D2" s="30"/>
      <c r="E2" s="30"/>
      <c r="F2" s="30"/>
      <c r="G2" s="30"/>
      <c r="H2" s="30"/>
      <c r="I2" s="30"/>
    </row>
    <row r="3" spans="1:9" ht="18" x14ac:dyDescent="0.35">
      <c r="A3" s="18"/>
      <c r="B3" s="389" t="s">
        <v>15</v>
      </c>
      <c r="C3" s="389"/>
      <c r="D3" s="389"/>
      <c r="E3" s="31" t="s">
        <v>176</v>
      </c>
      <c r="F3" s="32" t="s">
        <v>21</v>
      </c>
      <c r="G3" s="33" t="s">
        <v>173</v>
      </c>
      <c r="H3" s="18"/>
      <c r="I3" s="18"/>
    </row>
    <row r="4" spans="1:9" ht="36" x14ac:dyDescent="0.35">
      <c r="A4" s="18"/>
      <c r="B4" s="34" t="s">
        <v>11</v>
      </c>
      <c r="C4" s="34" t="s">
        <v>5</v>
      </c>
      <c r="D4" s="34" t="s">
        <v>16</v>
      </c>
      <c r="E4" s="18"/>
      <c r="F4" s="18" t="s">
        <v>201</v>
      </c>
      <c r="G4" s="35"/>
      <c r="H4" s="18"/>
      <c r="I4" s="18"/>
    </row>
    <row r="5" spans="1:9" ht="18" x14ac:dyDescent="0.35">
      <c r="A5" s="18"/>
      <c r="B5" s="36" t="s">
        <v>4</v>
      </c>
      <c r="C5" s="36" t="s">
        <v>6</v>
      </c>
      <c r="D5" s="37">
        <v>3.0772730428607088E-4</v>
      </c>
      <c r="E5" s="18"/>
      <c r="F5" s="18"/>
      <c r="G5" s="38"/>
      <c r="H5" s="18"/>
      <c r="I5" s="18"/>
    </row>
    <row r="6" spans="1:9" ht="18" x14ac:dyDescent="0.35">
      <c r="A6" s="18"/>
      <c r="B6" s="36" t="s">
        <v>7</v>
      </c>
      <c r="C6" s="36" t="s">
        <v>8</v>
      </c>
      <c r="D6" s="37">
        <v>5.3566400000000011E-3</v>
      </c>
      <c r="E6" s="18"/>
      <c r="F6" s="18"/>
      <c r="G6" s="39"/>
      <c r="H6" s="18"/>
      <c r="I6" s="18"/>
    </row>
    <row r="7" spans="1:9" ht="18" x14ac:dyDescent="0.35">
      <c r="A7" s="18"/>
      <c r="B7" s="36" t="s">
        <v>26</v>
      </c>
      <c r="C7" s="36" t="s">
        <v>9</v>
      </c>
      <c r="D7" s="37">
        <v>5.8112624688000008E-3</v>
      </c>
      <c r="E7" s="18"/>
      <c r="F7" s="18"/>
      <c r="G7" s="39"/>
      <c r="H7" s="18"/>
      <c r="I7" s="18"/>
    </row>
    <row r="8" spans="1:9" ht="18" x14ac:dyDescent="0.35">
      <c r="A8" s="18"/>
      <c r="B8" s="36" t="s">
        <v>10</v>
      </c>
      <c r="C8" s="36" t="s">
        <v>9</v>
      </c>
      <c r="D8" s="37">
        <v>1.03369E-2</v>
      </c>
      <c r="E8" s="18"/>
      <c r="F8" s="18"/>
      <c r="G8" s="39"/>
      <c r="H8" s="18"/>
      <c r="I8" s="18"/>
    </row>
    <row r="9" spans="1:9" ht="18" x14ac:dyDescent="0.35">
      <c r="A9" s="18"/>
      <c r="B9" s="36" t="s">
        <v>110</v>
      </c>
      <c r="C9" s="36" t="s">
        <v>130</v>
      </c>
      <c r="D9" s="37">
        <v>0.66369999999999996</v>
      </c>
      <c r="E9" s="18"/>
      <c r="F9" s="18"/>
      <c r="G9" s="39"/>
      <c r="H9" s="18"/>
      <c r="I9" s="18"/>
    </row>
    <row r="10" spans="1:9" ht="18" x14ac:dyDescent="0.35">
      <c r="A10" s="18"/>
      <c r="B10" s="40"/>
      <c r="C10" s="40"/>
      <c r="D10" s="40"/>
      <c r="E10" s="18"/>
      <c r="F10" s="18"/>
      <c r="G10" s="35"/>
      <c r="H10" s="18"/>
      <c r="I10" s="18"/>
    </row>
    <row r="11" spans="1:9" ht="18" x14ac:dyDescent="0.35">
      <c r="A11" s="18"/>
      <c r="B11" s="386" t="s">
        <v>174</v>
      </c>
      <c r="C11" s="387"/>
      <c r="D11" s="388"/>
      <c r="E11" s="18"/>
      <c r="F11" s="18"/>
      <c r="G11" s="35"/>
      <c r="H11" s="18"/>
      <c r="I11" s="18"/>
    </row>
    <row r="12" spans="1:9" ht="18" x14ac:dyDescent="0.35">
      <c r="A12" s="18"/>
      <c r="B12" s="34" t="s">
        <v>11</v>
      </c>
      <c r="C12" s="34" t="s">
        <v>5</v>
      </c>
      <c r="D12" s="34" t="s">
        <v>12</v>
      </c>
      <c r="E12" s="18"/>
      <c r="F12" s="18"/>
      <c r="G12" s="35"/>
      <c r="H12" s="18"/>
      <c r="I12" s="18"/>
    </row>
    <row r="13" spans="1:9" ht="18" x14ac:dyDescent="0.35">
      <c r="A13" s="18"/>
      <c r="B13" s="36" t="s">
        <v>4</v>
      </c>
      <c r="C13" s="36" t="s">
        <v>6</v>
      </c>
      <c r="D13" s="41">
        <v>0.18190000000000001</v>
      </c>
      <c r="E13" s="42">
        <v>46023</v>
      </c>
      <c r="F13" s="18" t="s">
        <v>17</v>
      </c>
      <c r="G13" s="38" t="s">
        <v>18</v>
      </c>
      <c r="H13" s="18"/>
      <c r="I13" s="18"/>
    </row>
    <row r="14" spans="1:9" ht="18" x14ac:dyDescent="0.35">
      <c r="A14" s="18"/>
      <c r="B14" s="36" t="s">
        <v>7</v>
      </c>
      <c r="C14" s="36" t="s">
        <v>8</v>
      </c>
      <c r="D14" s="41">
        <v>0.77170000000000005</v>
      </c>
      <c r="E14" s="42">
        <v>46023</v>
      </c>
      <c r="F14" s="18" t="s">
        <v>19</v>
      </c>
      <c r="G14" s="38" t="s">
        <v>18</v>
      </c>
      <c r="H14" s="18"/>
      <c r="I14" s="18"/>
    </row>
    <row r="15" spans="1:9" ht="18" x14ac:dyDescent="0.35">
      <c r="A15" s="18"/>
      <c r="B15" s="36" t="s">
        <v>26</v>
      </c>
      <c r="C15" s="36" t="s">
        <v>9</v>
      </c>
      <c r="D15" s="41">
        <v>1.22</v>
      </c>
      <c r="E15" s="42">
        <v>46082</v>
      </c>
      <c r="F15" s="18"/>
      <c r="G15" s="38"/>
      <c r="H15" s="18"/>
      <c r="I15" s="18"/>
    </row>
    <row r="16" spans="1:9" ht="18" x14ac:dyDescent="0.35">
      <c r="A16" s="18"/>
      <c r="B16" s="36" t="s">
        <v>10</v>
      </c>
      <c r="C16" s="36" t="s">
        <v>9</v>
      </c>
      <c r="D16" s="41">
        <v>4.6120000000000001</v>
      </c>
      <c r="E16" s="42">
        <v>46082</v>
      </c>
      <c r="F16" s="18"/>
      <c r="G16" s="39" t="s">
        <v>22</v>
      </c>
      <c r="H16" s="18"/>
      <c r="I16" s="18"/>
    </row>
    <row r="17" spans="1:9" ht="18" x14ac:dyDescent="0.35">
      <c r="A17" s="18"/>
      <c r="B17" s="36" t="s">
        <v>110</v>
      </c>
      <c r="C17" s="36" t="s">
        <v>130</v>
      </c>
      <c r="D17" s="41">
        <v>95.93</v>
      </c>
      <c r="E17" s="42">
        <v>44986</v>
      </c>
      <c r="F17" s="18"/>
      <c r="G17" s="39" t="s">
        <v>111</v>
      </c>
      <c r="H17" s="18"/>
      <c r="I17" s="18"/>
    </row>
    <row r="18" spans="1:9" ht="18" x14ac:dyDescent="0.35">
      <c r="A18" s="18"/>
      <c r="B18" s="18"/>
      <c r="C18" s="18"/>
      <c r="D18" s="18"/>
      <c r="E18" s="30"/>
      <c r="F18" s="18"/>
      <c r="G18" s="35"/>
      <c r="H18" s="18"/>
      <c r="I18" s="18"/>
    </row>
    <row r="19" spans="1:9" ht="18" x14ac:dyDescent="0.35">
      <c r="A19" s="18"/>
      <c r="B19" s="386" t="s">
        <v>175</v>
      </c>
      <c r="C19" s="387"/>
      <c r="D19" s="388"/>
      <c r="E19" s="30"/>
      <c r="F19" s="18"/>
      <c r="G19" s="18"/>
      <c r="H19" s="18"/>
      <c r="I19" s="18"/>
    </row>
    <row r="20" spans="1:9" ht="54" x14ac:dyDescent="0.35">
      <c r="A20" s="18"/>
      <c r="B20" s="34" t="s">
        <v>39</v>
      </c>
      <c r="C20" s="34" t="s">
        <v>40</v>
      </c>
      <c r="D20" s="34" t="s">
        <v>41</v>
      </c>
      <c r="E20" s="18"/>
      <c r="F20" s="18"/>
      <c r="G20" s="18"/>
      <c r="H20" s="18"/>
      <c r="I20" s="18"/>
    </row>
    <row r="21" spans="1:9" ht="36" x14ac:dyDescent="0.35">
      <c r="A21" s="18"/>
      <c r="B21" s="43" t="s">
        <v>42</v>
      </c>
      <c r="C21" s="37"/>
      <c r="D21" s="36"/>
      <c r="E21" s="18"/>
      <c r="F21" s="18" t="s">
        <v>177</v>
      </c>
      <c r="G21" s="18"/>
      <c r="H21" s="18"/>
      <c r="I21" s="18"/>
    </row>
    <row r="22" spans="1:9" ht="36" x14ac:dyDescent="0.35">
      <c r="A22" s="18"/>
      <c r="B22" s="36" t="s">
        <v>80</v>
      </c>
      <c r="C22" s="37">
        <v>20</v>
      </c>
      <c r="D22" s="36" t="s">
        <v>30</v>
      </c>
      <c r="E22" s="18"/>
      <c r="F22" s="30"/>
      <c r="G22" s="18"/>
      <c r="H22" s="18"/>
      <c r="I22" s="18"/>
    </row>
    <row r="23" spans="1:9" ht="36" x14ac:dyDescent="0.35">
      <c r="A23" s="18"/>
      <c r="B23" s="36" t="s">
        <v>79</v>
      </c>
      <c r="C23" s="37">
        <v>20</v>
      </c>
      <c r="D23" s="36" t="s">
        <v>31</v>
      </c>
      <c r="E23" s="18"/>
      <c r="F23" s="18"/>
      <c r="G23" s="18"/>
      <c r="H23" s="18"/>
      <c r="I23" s="18"/>
    </row>
    <row r="24" spans="1:9" ht="36" x14ac:dyDescent="0.35">
      <c r="A24" s="18"/>
      <c r="B24" s="36" t="s">
        <v>166</v>
      </c>
      <c r="C24" s="37">
        <v>20</v>
      </c>
      <c r="D24" s="36" t="s">
        <v>30</v>
      </c>
      <c r="E24" s="18"/>
      <c r="F24" s="18"/>
      <c r="G24" s="18"/>
      <c r="H24" s="18"/>
      <c r="I24" s="18"/>
    </row>
    <row r="25" spans="1:9" ht="36" x14ac:dyDescent="0.35">
      <c r="A25" s="18"/>
      <c r="B25" s="36" t="s">
        <v>167</v>
      </c>
      <c r="C25" s="37">
        <v>20</v>
      </c>
      <c r="D25" s="36" t="s">
        <v>31</v>
      </c>
      <c r="E25" s="18"/>
      <c r="F25" s="18"/>
      <c r="G25" s="18"/>
      <c r="H25" s="18"/>
      <c r="I25" s="18"/>
    </row>
    <row r="26" spans="1:9" ht="18" x14ac:dyDescent="0.35">
      <c r="A26" s="18"/>
      <c r="B26" s="36" t="s">
        <v>36</v>
      </c>
      <c r="C26" s="37">
        <v>20</v>
      </c>
      <c r="D26" s="36" t="s">
        <v>31</v>
      </c>
      <c r="E26" s="18"/>
      <c r="F26" s="18"/>
      <c r="G26" s="18"/>
      <c r="H26" s="18"/>
      <c r="I26" s="18"/>
    </row>
    <row r="27" spans="1:9" ht="18" x14ac:dyDescent="0.35">
      <c r="A27" s="18"/>
      <c r="B27" s="36" t="s">
        <v>146</v>
      </c>
      <c r="C27" s="37">
        <v>20</v>
      </c>
      <c r="D27" s="36" t="s">
        <v>31</v>
      </c>
      <c r="E27" s="18"/>
      <c r="F27" s="18"/>
      <c r="G27" s="18"/>
      <c r="H27" s="18"/>
      <c r="I27" s="18"/>
    </row>
    <row r="28" spans="1:9" ht="36" x14ac:dyDescent="0.35">
      <c r="A28" s="18"/>
      <c r="B28" s="36" t="s">
        <v>205</v>
      </c>
      <c r="C28" s="37">
        <v>20</v>
      </c>
      <c r="D28" s="36" t="s">
        <v>31</v>
      </c>
      <c r="E28" s="18"/>
      <c r="F28" s="18"/>
      <c r="G28" s="18"/>
      <c r="H28" s="18"/>
      <c r="I28" s="18"/>
    </row>
    <row r="29" spans="1:9" ht="18" x14ac:dyDescent="0.35">
      <c r="A29" s="18"/>
      <c r="B29" s="36" t="s">
        <v>203</v>
      </c>
      <c r="C29" s="37">
        <v>20</v>
      </c>
      <c r="D29" s="36" t="s">
        <v>31</v>
      </c>
      <c r="E29" s="18"/>
      <c r="F29" s="18"/>
      <c r="G29" s="18"/>
      <c r="H29" s="18"/>
      <c r="I29" s="18"/>
    </row>
    <row r="30" spans="1:9" ht="36" x14ac:dyDescent="0.35">
      <c r="A30" s="18"/>
      <c r="B30" s="36" t="s">
        <v>204</v>
      </c>
      <c r="C30" s="37">
        <v>20</v>
      </c>
      <c r="D30" s="36" t="s">
        <v>31</v>
      </c>
      <c r="E30" s="18"/>
      <c r="F30" s="18"/>
      <c r="G30" s="18"/>
      <c r="H30" s="18"/>
      <c r="I30" s="18"/>
    </row>
    <row r="31" spans="1:9" ht="18" x14ac:dyDescent="0.35">
      <c r="A31" s="18"/>
      <c r="B31" s="36" t="s">
        <v>37</v>
      </c>
      <c r="C31" s="37">
        <v>20</v>
      </c>
      <c r="D31" s="36" t="s">
        <v>31</v>
      </c>
      <c r="E31" s="18"/>
      <c r="F31" s="18"/>
      <c r="G31" s="18"/>
      <c r="H31" s="18"/>
      <c r="I31" s="18"/>
    </row>
    <row r="32" spans="1:9" ht="36" x14ac:dyDescent="0.35">
      <c r="A32" s="18"/>
      <c r="B32" s="36" t="s">
        <v>38</v>
      </c>
      <c r="C32" s="37">
        <v>20</v>
      </c>
      <c r="D32" s="36" t="s">
        <v>31</v>
      </c>
      <c r="E32" s="18"/>
      <c r="F32" s="18"/>
      <c r="G32" s="18"/>
      <c r="H32" s="18"/>
      <c r="I32" s="18"/>
    </row>
    <row r="33" spans="1:9" ht="18" x14ac:dyDescent="0.35">
      <c r="A33" s="18"/>
      <c r="B33" s="36" t="s">
        <v>32</v>
      </c>
      <c r="C33" s="37">
        <v>25</v>
      </c>
      <c r="D33" s="36" t="s">
        <v>32</v>
      </c>
      <c r="E33" s="18"/>
      <c r="F33" s="18"/>
      <c r="G33" s="18"/>
      <c r="H33" s="18"/>
      <c r="I33" s="18"/>
    </row>
    <row r="34" spans="1:9" ht="13.8" x14ac:dyDescent="0.3">
      <c r="A34" s="29"/>
      <c r="B34" s="29"/>
      <c r="C34" s="29"/>
      <c r="D34" s="29"/>
      <c r="E34" s="29"/>
      <c r="F34" s="29"/>
      <c r="G34" s="29"/>
      <c r="H34" s="29"/>
      <c r="I34" s="29"/>
    </row>
    <row r="35" spans="1:9" ht="18.75" customHeight="1" x14ac:dyDescent="0.25">
      <c r="B35" s="393" t="s">
        <v>199</v>
      </c>
      <c r="C35" s="394"/>
      <c r="D35" s="395"/>
    </row>
    <row r="36" spans="1:9" ht="18" x14ac:dyDescent="0.25">
      <c r="B36" s="34" t="s">
        <v>11</v>
      </c>
      <c r="C36" s="34" t="s">
        <v>5</v>
      </c>
      <c r="D36" s="34" t="s">
        <v>200</v>
      </c>
    </row>
    <row r="37" spans="1:9" ht="18" x14ac:dyDescent="0.25">
      <c r="B37" s="36" t="s">
        <v>4</v>
      </c>
      <c r="C37" s="36" t="s">
        <v>6</v>
      </c>
      <c r="D37" s="37">
        <v>3.4119999999999999</v>
      </c>
    </row>
    <row r="38" spans="1:9" ht="18" x14ac:dyDescent="0.25">
      <c r="B38" s="36" t="s">
        <v>7</v>
      </c>
      <c r="C38" s="36" t="s">
        <v>8</v>
      </c>
      <c r="D38" s="37">
        <v>100</v>
      </c>
    </row>
    <row r="39" spans="1:9" ht="18" x14ac:dyDescent="0.25">
      <c r="B39" s="36" t="s">
        <v>26</v>
      </c>
      <c r="C39" s="36" t="s">
        <v>9</v>
      </c>
      <c r="D39" s="37">
        <v>91.332999999999998</v>
      </c>
    </row>
    <row r="40" spans="1:9" ht="18" x14ac:dyDescent="0.25">
      <c r="B40" s="36" t="s">
        <v>10</v>
      </c>
      <c r="C40" s="36" t="s">
        <v>9</v>
      </c>
      <c r="D40" s="37">
        <v>138.5</v>
      </c>
    </row>
    <row r="41" spans="1:9" ht="18" x14ac:dyDescent="0.25">
      <c r="B41" s="36" t="s">
        <v>110</v>
      </c>
      <c r="C41" s="36" t="s">
        <v>130</v>
      </c>
      <c r="D41" s="44">
        <v>25090</v>
      </c>
    </row>
  </sheetData>
  <sheetProtection algorithmName="SHA-512" hashValue="7B+9W+1nyU4Db2mMBs5IXICWa8Yl8Zxvlw7FeNwi/d+bOgE7wOyzaS0SFB+In2wEXJify1iaiGhwEQt8l9iRmA==" saltValue="fla33Q751cHvoT0YFK0AKQ==" spinCount="100000" sheet="1" objects="1" scenarios="1"/>
  <mergeCells count="5">
    <mergeCell ref="B11:D11"/>
    <mergeCell ref="B3:D3"/>
    <mergeCell ref="B19:D19"/>
    <mergeCell ref="B1:D1"/>
    <mergeCell ref="B35:D35"/>
  </mergeCells>
  <hyperlinks>
    <hyperlink ref="G16" r:id="rId1" xr:uid="{82F2B389-A0E8-402D-8F71-129756B56574}"/>
    <hyperlink ref="G14" r:id="rId2" xr:uid="{3AEC357D-B4BC-47A8-9289-5F396E7D9162}"/>
    <hyperlink ref="G13" r:id="rId3" xr:uid="{3F64804E-4184-4547-9A67-742A9EEA403F}"/>
    <hyperlink ref="G17" r:id="rId4" xr:uid="{8F8C015B-4DF8-4073-A4EB-23E89FA32B0E}"/>
  </hyperlinks>
  <pageMargins left="0.7" right="0.7" top="0.75" bottom="0.75" header="0.3" footer="0.3"/>
  <pageSetup orientation="portrait" horizontalDpi="1200" verticalDpi="1200" r:id="rId5"/>
  <legacy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D0A7-83D9-4040-B203-597AC1393D88}">
  <sheetPr>
    <tabColor theme="0" tint="-0.34998626667073579"/>
  </sheetPr>
  <dimension ref="A1:D68"/>
  <sheetViews>
    <sheetView topLeftCell="A5" zoomScale="70" zoomScaleNormal="70" workbookViewId="0">
      <selection activeCell="C16" sqref="C16"/>
    </sheetView>
  </sheetViews>
  <sheetFormatPr defaultColWidth="9.109375" defaultRowHeight="18" x14ac:dyDescent="0.35"/>
  <cols>
    <col min="1" max="1" width="66.88671875" style="18" bestFit="1" customWidth="1"/>
    <col min="2" max="2" width="38.109375" style="18" bestFit="1" customWidth="1"/>
    <col min="3" max="3" width="38.5546875" style="18" bestFit="1" customWidth="1"/>
    <col min="4" max="4" width="46.6640625" style="18" bestFit="1" customWidth="1"/>
    <col min="5" max="5" width="10.33203125" style="18" bestFit="1" customWidth="1"/>
    <col min="6" max="16384" width="9.109375" style="18"/>
  </cols>
  <sheetData>
    <row r="1" spans="1:4" ht="36.75" customHeight="1" x14ac:dyDescent="0.45">
      <c r="A1" s="396" t="s">
        <v>178</v>
      </c>
      <c r="B1" s="396"/>
      <c r="C1" s="396"/>
      <c r="D1" s="397"/>
    </row>
    <row r="2" spans="1:4" x14ac:dyDescent="0.35">
      <c r="A2" s="398" t="s">
        <v>179</v>
      </c>
      <c r="B2" s="398"/>
      <c r="C2" s="398"/>
      <c r="D2" s="399"/>
    </row>
    <row r="4" spans="1:4" x14ac:dyDescent="0.35">
      <c r="A4" s="19" t="s">
        <v>29</v>
      </c>
      <c r="B4" s="20" t="s">
        <v>30</v>
      </c>
      <c r="C4" s="20" t="s">
        <v>31</v>
      </c>
      <c r="D4" s="20" t="s">
        <v>84</v>
      </c>
    </row>
    <row r="5" spans="1:4" x14ac:dyDescent="0.35">
      <c r="A5" s="21" t="s">
        <v>220</v>
      </c>
      <c r="B5" s="22">
        <v>300</v>
      </c>
      <c r="C5" s="22">
        <v>300</v>
      </c>
      <c r="D5" s="23">
        <v>50</v>
      </c>
    </row>
    <row r="6" spans="1:4" x14ac:dyDescent="0.35">
      <c r="A6" s="21" t="s">
        <v>221</v>
      </c>
      <c r="B6" s="22">
        <v>350</v>
      </c>
      <c r="C6" s="22">
        <v>350</v>
      </c>
      <c r="D6" s="23">
        <v>50</v>
      </c>
    </row>
    <row r="7" spans="1:4" x14ac:dyDescent="0.35">
      <c r="A7" s="21" t="s">
        <v>222</v>
      </c>
      <c r="B7" s="22">
        <v>400</v>
      </c>
      <c r="C7" s="22">
        <v>400</v>
      </c>
      <c r="D7" s="23">
        <v>50</v>
      </c>
    </row>
    <row r="8" spans="1:4" x14ac:dyDescent="0.35">
      <c r="A8" s="21" t="s">
        <v>33</v>
      </c>
      <c r="B8" s="22">
        <v>50000</v>
      </c>
      <c r="C8" s="23">
        <v>50000</v>
      </c>
      <c r="D8" s="23"/>
    </row>
    <row r="9" spans="1:4" x14ac:dyDescent="0.35">
      <c r="A9" s="21" t="s">
        <v>34</v>
      </c>
      <c r="B9" s="22">
        <v>2000000</v>
      </c>
      <c r="C9" s="23">
        <v>2000000</v>
      </c>
      <c r="D9" s="23"/>
    </row>
    <row r="10" spans="1:4" x14ac:dyDescent="0.35">
      <c r="A10" s="24" t="s">
        <v>277</v>
      </c>
      <c r="B10" s="25">
        <v>0.65</v>
      </c>
      <c r="C10" s="26">
        <v>0.65</v>
      </c>
      <c r="D10" s="26"/>
    </row>
    <row r="11" spans="1:4" x14ac:dyDescent="0.35">
      <c r="A11" s="27"/>
      <c r="B11" s="28"/>
      <c r="C11" s="28"/>
      <c r="D11" s="28"/>
    </row>
    <row r="12" spans="1:4" x14ac:dyDescent="0.35">
      <c r="A12" s="27"/>
      <c r="B12" s="28"/>
      <c r="C12" s="28"/>
      <c r="D12" s="28"/>
    </row>
    <row r="13" spans="1:4" x14ac:dyDescent="0.35">
      <c r="A13" s="19" t="s">
        <v>90</v>
      </c>
      <c r="B13" s="20" t="s">
        <v>30</v>
      </c>
      <c r="C13" s="20" t="s">
        <v>31</v>
      </c>
      <c r="D13" s="20" t="s">
        <v>84</v>
      </c>
    </row>
    <row r="14" spans="1:4" x14ac:dyDescent="0.35">
      <c r="A14" s="21" t="s">
        <v>220</v>
      </c>
      <c r="B14" s="22">
        <v>300</v>
      </c>
      <c r="C14" s="22">
        <v>300</v>
      </c>
      <c r="D14" s="23">
        <v>50</v>
      </c>
    </row>
    <row r="15" spans="1:4" x14ac:dyDescent="0.35">
      <c r="A15" s="21" t="s">
        <v>221</v>
      </c>
      <c r="B15" s="22">
        <v>350</v>
      </c>
      <c r="C15" s="22">
        <v>350</v>
      </c>
      <c r="D15" s="23">
        <v>50</v>
      </c>
    </row>
    <row r="16" spans="1:4" x14ac:dyDescent="0.35">
      <c r="A16" s="21" t="s">
        <v>222</v>
      </c>
      <c r="B16" s="22">
        <v>400</v>
      </c>
      <c r="C16" s="22">
        <v>400</v>
      </c>
      <c r="D16" s="23">
        <v>50</v>
      </c>
    </row>
    <row r="17" spans="1:4" x14ac:dyDescent="0.35">
      <c r="A17" s="21" t="s">
        <v>33</v>
      </c>
      <c r="B17" s="22">
        <v>50000</v>
      </c>
      <c r="C17" s="22">
        <v>50000</v>
      </c>
      <c r="D17" s="23"/>
    </row>
    <row r="18" spans="1:4" x14ac:dyDescent="0.35">
      <c r="A18" s="21" t="s">
        <v>34</v>
      </c>
      <c r="B18" s="22">
        <v>2000000</v>
      </c>
      <c r="C18" s="22">
        <v>2000000</v>
      </c>
      <c r="D18" s="23"/>
    </row>
    <row r="19" spans="1:4" x14ac:dyDescent="0.35">
      <c r="A19" s="24" t="s">
        <v>67</v>
      </c>
      <c r="B19" s="25">
        <v>0.65</v>
      </c>
      <c r="C19" s="26">
        <v>0.65</v>
      </c>
      <c r="D19" s="26"/>
    </row>
    <row r="20" spans="1:4" x14ac:dyDescent="0.35">
      <c r="A20" s="27"/>
      <c r="B20" s="28"/>
      <c r="C20" s="28"/>
      <c r="D20" s="28"/>
    </row>
    <row r="21" spans="1:4" x14ac:dyDescent="0.35">
      <c r="A21" s="27"/>
      <c r="B21" s="28"/>
      <c r="C21" s="28"/>
      <c r="D21" s="28"/>
    </row>
    <row r="22" spans="1:4" x14ac:dyDescent="0.35">
      <c r="A22" s="19" t="s">
        <v>35</v>
      </c>
      <c r="B22" s="20" t="s">
        <v>30</v>
      </c>
      <c r="C22" s="20" t="s">
        <v>31</v>
      </c>
      <c r="D22" s="28"/>
    </row>
    <row r="23" spans="1:4" x14ac:dyDescent="0.35">
      <c r="A23" s="21" t="s">
        <v>220</v>
      </c>
      <c r="B23" s="22">
        <v>400</v>
      </c>
      <c r="C23" s="22">
        <v>400</v>
      </c>
      <c r="D23" s="28"/>
    </row>
    <row r="24" spans="1:4" x14ac:dyDescent="0.35">
      <c r="A24" s="21" t="s">
        <v>221</v>
      </c>
      <c r="B24" s="22">
        <v>450</v>
      </c>
      <c r="C24" s="22">
        <v>450</v>
      </c>
      <c r="D24" s="28"/>
    </row>
    <row r="25" spans="1:4" x14ac:dyDescent="0.35">
      <c r="A25" s="21" t="s">
        <v>222</v>
      </c>
      <c r="B25" s="22">
        <v>500</v>
      </c>
      <c r="C25" s="22">
        <v>500</v>
      </c>
      <c r="D25" s="28"/>
    </row>
    <row r="26" spans="1:4" x14ac:dyDescent="0.35">
      <c r="A26" s="21" t="s">
        <v>33</v>
      </c>
      <c r="B26" s="22">
        <v>50000</v>
      </c>
      <c r="C26" s="22">
        <v>50000</v>
      </c>
      <c r="D26" s="28"/>
    </row>
    <row r="27" spans="1:4" x14ac:dyDescent="0.35">
      <c r="A27" s="21" t="s">
        <v>34</v>
      </c>
      <c r="B27" s="22">
        <v>2000000</v>
      </c>
      <c r="C27" s="22">
        <v>2000000</v>
      </c>
      <c r="D27" s="28"/>
    </row>
    <row r="28" spans="1:4" x14ac:dyDescent="0.35">
      <c r="A28" s="24" t="s">
        <v>277</v>
      </c>
      <c r="B28" s="25">
        <v>0.8</v>
      </c>
      <c r="C28" s="26">
        <v>0.8</v>
      </c>
      <c r="D28" s="28"/>
    </row>
    <row r="29" spans="1:4" x14ac:dyDescent="0.35">
      <c r="A29" s="27"/>
      <c r="B29" s="28"/>
      <c r="C29" s="28"/>
      <c r="D29" s="28"/>
    </row>
    <row r="30" spans="1:4" x14ac:dyDescent="0.35">
      <c r="A30" s="27"/>
      <c r="B30" s="28"/>
      <c r="C30" s="28"/>
      <c r="D30" s="28"/>
    </row>
    <row r="31" spans="1:4" x14ac:dyDescent="0.35">
      <c r="A31" s="19" t="s">
        <v>284</v>
      </c>
      <c r="B31" s="20" t="s">
        <v>30</v>
      </c>
      <c r="C31" s="20" t="s">
        <v>31</v>
      </c>
      <c r="D31" s="20" t="s">
        <v>256</v>
      </c>
    </row>
    <row r="32" spans="1:4" x14ac:dyDescent="0.35">
      <c r="A32" s="21" t="s">
        <v>220</v>
      </c>
      <c r="B32" s="22">
        <v>450</v>
      </c>
      <c r="C32" s="22">
        <v>450</v>
      </c>
      <c r="D32" s="23">
        <v>50</v>
      </c>
    </row>
    <row r="33" spans="1:4" x14ac:dyDescent="0.35">
      <c r="A33" s="21" t="s">
        <v>221</v>
      </c>
      <c r="B33" s="22">
        <v>500</v>
      </c>
      <c r="C33" s="22">
        <v>500</v>
      </c>
      <c r="D33" s="23">
        <v>50</v>
      </c>
    </row>
    <row r="34" spans="1:4" x14ac:dyDescent="0.35">
      <c r="A34" s="21" t="s">
        <v>222</v>
      </c>
      <c r="B34" s="22">
        <v>550</v>
      </c>
      <c r="C34" s="22">
        <v>550</v>
      </c>
      <c r="D34" s="23">
        <v>50</v>
      </c>
    </row>
    <row r="35" spans="1:4" x14ac:dyDescent="0.35">
      <c r="A35" s="21" t="s">
        <v>33</v>
      </c>
      <c r="B35" s="22">
        <v>50000</v>
      </c>
      <c r="C35" s="22">
        <v>50000</v>
      </c>
      <c r="D35" s="23"/>
    </row>
    <row r="36" spans="1:4" x14ac:dyDescent="0.35">
      <c r="A36" s="21" t="s">
        <v>34</v>
      </c>
      <c r="B36" s="22">
        <v>3000000</v>
      </c>
      <c r="C36" s="22">
        <v>3000000</v>
      </c>
      <c r="D36" s="23"/>
    </row>
    <row r="37" spans="1:4" x14ac:dyDescent="0.35">
      <c r="A37" s="24" t="s">
        <v>277</v>
      </c>
      <c r="B37" s="25">
        <v>0.9</v>
      </c>
      <c r="C37" s="26">
        <v>0.9</v>
      </c>
      <c r="D37" s="26"/>
    </row>
    <row r="38" spans="1:4" x14ac:dyDescent="0.35">
      <c r="A38" s="27"/>
      <c r="B38" s="28"/>
      <c r="C38" s="28"/>
      <c r="D38" s="28"/>
    </row>
    <row r="39" spans="1:4" x14ac:dyDescent="0.35">
      <c r="A39" s="27"/>
      <c r="B39" s="28"/>
      <c r="C39" s="28"/>
      <c r="D39" s="28"/>
    </row>
    <row r="40" spans="1:4" x14ac:dyDescent="0.35">
      <c r="A40" s="19" t="s">
        <v>85</v>
      </c>
      <c r="B40" s="20" t="s">
        <v>86</v>
      </c>
      <c r="C40" s="20" t="s">
        <v>197</v>
      </c>
      <c r="D40" s="20" t="s">
        <v>84</v>
      </c>
    </row>
    <row r="41" spans="1:4" x14ac:dyDescent="0.35">
      <c r="A41" s="24" t="s">
        <v>88</v>
      </c>
      <c r="B41" s="22">
        <v>3000</v>
      </c>
      <c r="C41" s="22">
        <v>600</v>
      </c>
      <c r="D41" s="23">
        <v>50</v>
      </c>
    </row>
    <row r="42" spans="1:4" x14ac:dyDescent="0.35">
      <c r="A42" s="24" t="s">
        <v>89</v>
      </c>
      <c r="B42" s="22">
        <v>3500</v>
      </c>
      <c r="C42" s="22">
        <v>750</v>
      </c>
      <c r="D42" s="23">
        <v>50</v>
      </c>
    </row>
    <row r="43" spans="1:4" x14ac:dyDescent="0.35">
      <c r="A43" s="24" t="s">
        <v>33</v>
      </c>
      <c r="B43" s="22">
        <f>B8</f>
        <v>50000</v>
      </c>
      <c r="C43" s="22">
        <f>C8</f>
        <v>50000</v>
      </c>
      <c r="D43" s="23"/>
    </row>
    <row r="44" spans="1:4" x14ac:dyDescent="0.35">
      <c r="A44" s="24" t="s">
        <v>34</v>
      </c>
      <c r="B44" s="22">
        <v>1000000</v>
      </c>
      <c r="C44" s="22">
        <v>1000000</v>
      </c>
      <c r="D44" s="23"/>
    </row>
    <row r="45" spans="1:4" x14ac:dyDescent="0.35">
      <c r="A45" s="24" t="s">
        <v>277</v>
      </c>
      <c r="B45" s="25">
        <v>0.65</v>
      </c>
      <c r="C45" s="26">
        <v>0.65</v>
      </c>
      <c r="D45" s="26"/>
    </row>
    <row r="46" spans="1:4" x14ac:dyDescent="0.35">
      <c r="A46" s="27"/>
      <c r="B46" s="28"/>
      <c r="C46" s="28"/>
      <c r="D46" s="28"/>
    </row>
    <row r="47" spans="1:4" x14ac:dyDescent="0.35">
      <c r="A47" s="27"/>
      <c r="B47" s="28"/>
      <c r="C47" s="28"/>
      <c r="D47" s="28"/>
    </row>
    <row r="48" spans="1:4" x14ac:dyDescent="0.35">
      <c r="A48" s="19" t="s">
        <v>87</v>
      </c>
      <c r="B48" s="20" t="s">
        <v>86</v>
      </c>
      <c r="C48" s="20" t="s">
        <v>197</v>
      </c>
      <c r="D48" s="28"/>
    </row>
    <row r="49" spans="1:4" x14ac:dyDescent="0.35">
      <c r="A49" s="24" t="s">
        <v>88</v>
      </c>
      <c r="B49" s="22">
        <v>3000</v>
      </c>
      <c r="C49" s="22">
        <v>600</v>
      </c>
      <c r="D49" s="28"/>
    </row>
    <row r="50" spans="1:4" x14ac:dyDescent="0.35">
      <c r="A50" s="24" t="s">
        <v>89</v>
      </c>
      <c r="B50" s="22">
        <v>3500</v>
      </c>
      <c r="C50" s="22">
        <v>750</v>
      </c>
      <c r="D50" s="28"/>
    </row>
    <row r="51" spans="1:4" x14ac:dyDescent="0.35">
      <c r="A51" s="24" t="s">
        <v>33</v>
      </c>
      <c r="B51" s="22">
        <v>50000</v>
      </c>
      <c r="C51" s="22">
        <v>50000</v>
      </c>
      <c r="D51" s="28"/>
    </row>
    <row r="52" spans="1:4" x14ac:dyDescent="0.35">
      <c r="A52" s="24" t="s">
        <v>34</v>
      </c>
      <c r="B52" s="22">
        <v>1000000</v>
      </c>
      <c r="C52" s="22">
        <v>1000000</v>
      </c>
      <c r="D52" s="28"/>
    </row>
    <row r="53" spans="1:4" x14ac:dyDescent="0.35">
      <c r="A53" s="24" t="s">
        <v>277</v>
      </c>
      <c r="B53" s="25">
        <v>0.8</v>
      </c>
      <c r="C53" s="26">
        <v>0.8</v>
      </c>
      <c r="D53" s="28"/>
    </row>
    <row r="54" spans="1:4" x14ac:dyDescent="0.35">
      <c r="A54" s="27"/>
      <c r="B54" s="28"/>
      <c r="C54" s="28"/>
      <c r="D54" s="28"/>
    </row>
    <row r="55" spans="1:4" x14ac:dyDescent="0.35">
      <c r="A55" s="27"/>
      <c r="B55" s="28"/>
      <c r="C55" s="28"/>
      <c r="D55" s="28"/>
    </row>
    <row r="56" spans="1:4" x14ac:dyDescent="0.35">
      <c r="A56" s="19" t="s">
        <v>285</v>
      </c>
      <c r="B56" s="20" t="s">
        <v>86</v>
      </c>
      <c r="C56" s="20" t="s">
        <v>197</v>
      </c>
      <c r="D56" s="20" t="s">
        <v>256</v>
      </c>
    </row>
    <row r="57" spans="1:4" x14ac:dyDescent="0.35">
      <c r="A57" s="24" t="s">
        <v>88</v>
      </c>
      <c r="B57" s="22">
        <v>3000</v>
      </c>
      <c r="C57" s="22">
        <v>600</v>
      </c>
      <c r="D57" s="23">
        <v>50</v>
      </c>
    </row>
    <row r="58" spans="1:4" x14ac:dyDescent="0.35">
      <c r="A58" s="24" t="s">
        <v>89</v>
      </c>
      <c r="B58" s="22">
        <v>3500</v>
      </c>
      <c r="C58" s="22">
        <v>750</v>
      </c>
      <c r="D58" s="23">
        <v>50</v>
      </c>
    </row>
    <row r="59" spans="1:4" x14ac:dyDescent="0.35">
      <c r="A59" s="24" t="s">
        <v>33</v>
      </c>
      <c r="B59" s="22">
        <v>50000</v>
      </c>
      <c r="C59" s="22">
        <v>50000</v>
      </c>
      <c r="D59" s="23"/>
    </row>
    <row r="60" spans="1:4" x14ac:dyDescent="0.35">
      <c r="A60" s="24" t="s">
        <v>34</v>
      </c>
      <c r="B60" s="22">
        <v>1000000</v>
      </c>
      <c r="C60" s="22">
        <v>1000000</v>
      </c>
      <c r="D60" s="23"/>
    </row>
    <row r="61" spans="1:4" x14ac:dyDescent="0.35">
      <c r="A61" s="24" t="s">
        <v>277</v>
      </c>
      <c r="B61" s="25">
        <v>0.9</v>
      </c>
      <c r="C61" s="26">
        <v>0.9</v>
      </c>
      <c r="D61" s="26"/>
    </row>
    <row r="62" spans="1:4" x14ac:dyDescent="0.35">
      <c r="B62" s="28"/>
      <c r="C62" s="28"/>
      <c r="D62" s="28"/>
    </row>
    <row r="63" spans="1:4" x14ac:dyDescent="0.35">
      <c r="B63" s="28"/>
      <c r="C63" s="28"/>
      <c r="D63" s="28"/>
    </row>
    <row r="64" spans="1:4" x14ac:dyDescent="0.35">
      <c r="A64" s="19" t="s">
        <v>218</v>
      </c>
      <c r="B64" s="20" t="s">
        <v>217</v>
      </c>
    </row>
    <row r="65" spans="1:2" x14ac:dyDescent="0.35">
      <c r="A65" s="24" t="s">
        <v>33</v>
      </c>
      <c r="B65" s="22">
        <v>3000</v>
      </c>
    </row>
    <row r="66" spans="1:2" x14ac:dyDescent="0.35">
      <c r="A66" s="24" t="s">
        <v>34</v>
      </c>
      <c r="B66" s="22">
        <v>20000</v>
      </c>
    </row>
    <row r="67" spans="1:2" x14ac:dyDescent="0.35">
      <c r="A67" s="24" t="s">
        <v>277</v>
      </c>
      <c r="B67" s="25">
        <v>0.3</v>
      </c>
    </row>
    <row r="68" spans="1:2" x14ac:dyDescent="0.35">
      <c r="A68" s="24" t="s">
        <v>219</v>
      </c>
      <c r="B68" s="22">
        <v>10000</v>
      </c>
    </row>
  </sheetData>
  <sheetProtection algorithmName="SHA-512" hashValue="SupvBczNW8xnjibg31IL3jb83/3OSABYKjPlBzgo0f/sAnv/02gt8ix6wBzixSb8FmbNNNr1kcYhGAb/7tQi4A==" saltValue="lLCbTjB/+eaS+dp/3pYKZg==" spinCount="100000" sheet="1" objects="1" scenarios="1"/>
  <mergeCells count="2">
    <mergeCell ref="A1:D1"/>
    <mergeCell ref="A2:D2"/>
  </mergeCells>
  <phoneticPr fontId="6" type="noConversion"/>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36D31-3CF6-4B62-8544-55CEE7D47A3C}">
  <dimension ref="A1:F7"/>
  <sheetViews>
    <sheetView zoomScale="70" zoomScaleNormal="70" workbookViewId="0">
      <selection activeCell="D7" sqref="D7"/>
    </sheetView>
  </sheetViews>
  <sheetFormatPr defaultColWidth="8.77734375" defaultRowHeight="13.2" x14ac:dyDescent="0.25"/>
  <cols>
    <col min="1" max="1" width="5.5546875" bestFit="1" customWidth="1"/>
    <col min="2" max="2" width="16.88671875" bestFit="1" customWidth="1"/>
    <col min="3" max="3" width="16.33203125" bestFit="1" customWidth="1"/>
    <col min="4" max="4" width="78.5546875" customWidth="1"/>
    <col min="5" max="5" width="18.109375" customWidth="1"/>
    <col min="6" max="6" width="15.109375" customWidth="1"/>
  </cols>
  <sheetData>
    <row r="1" spans="1:6" ht="23.4" x14ac:dyDescent="0.45">
      <c r="A1" s="400" t="s">
        <v>316</v>
      </c>
      <c r="B1" s="396"/>
      <c r="C1" s="396"/>
      <c r="D1" s="396"/>
      <c r="E1" s="396"/>
      <c r="F1" s="396"/>
    </row>
    <row r="2" spans="1:6" ht="17.399999999999999" x14ac:dyDescent="0.3">
      <c r="A2" s="30"/>
      <c r="B2" s="30"/>
      <c r="C2" s="30"/>
      <c r="D2" s="30"/>
    </row>
    <row r="3" spans="1:6" ht="18" x14ac:dyDescent="0.25">
      <c r="A3" s="34" t="s">
        <v>317</v>
      </c>
      <c r="B3" s="34" t="s">
        <v>321</v>
      </c>
      <c r="C3" s="34" t="s">
        <v>318</v>
      </c>
      <c r="D3" s="34" t="s">
        <v>27</v>
      </c>
      <c r="E3" s="34" t="s">
        <v>319</v>
      </c>
      <c r="F3" s="34" t="s">
        <v>320</v>
      </c>
    </row>
    <row r="4" spans="1:6" s="111" customFormat="1" ht="18" x14ac:dyDescent="0.25">
      <c r="A4" s="109"/>
      <c r="B4" s="110"/>
      <c r="C4" s="110"/>
      <c r="D4" s="37"/>
      <c r="E4" s="37"/>
      <c r="F4" s="37"/>
    </row>
    <row r="5" spans="1:6" ht="18" x14ac:dyDescent="0.25">
      <c r="A5" s="112" t="s">
        <v>330</v>
      </c>
      <c r="B5" s="113">
        <v>46276</v>
      </c>
      <c r="C5" s="113" t="s">
        <v>335</v>
      </c>
      <c r="D5" s="114" t="s">
        <v>333</v>
      </c>
      <c r="E5" s="114" t="s">
        <v>336</v>
      </c>
      <c r="F5" s="114" t="s">
        <v>334</v>
      </c>
    </row>
    <row r="6" spans="1:6" ht="18" x14ac:dyDescent="0.25">
      <c r="A6" s="109" t="s">
        <v>324</v>
      </c>
      <c r="B6" s="110">
        <v>46276</v>
      </c>
      <c r="C6" s="110" t="s">
        <v>325</v>
      </c>
      <c r="D6" s="37" t="s">
        <v>332</v>
      </c>
      <c r="E6" s="37" t="s">
        <v>336</v>
      </c>
      <c r="F6" s="37" t="s">
        <v>322</v>
      </c>
    </row>
    <row r="7" spans="1:6" ht="72" x14ac:dyDescent="0.25">
      <c r="A7" s="109" t="s">
        <v>323</v>
      </c>
      <c r="B7" s="110">
        <v>46276</v>
      </c>
      <c r="C7" s="37" t="s">
        <v>329</v>
      </c>
      <c r="D7" s="37" t="s">
        <v>328</v>
      </c>
      <c r="E7" s="37" t="s">
        <v>337</v>
      </c>
      <c r="F7" s="37" t="s">
        <v>331</v>
      </c>
    </row>
  </sheetData>
  <sheetProtection algorithmName="SHA-512" hashValue="w7eoUeO6IX/ia6VnzqRzD7M00ThNddE8zayGWr7+OX4lE56tE/xKkQrbCdUAKwlMNkETtSX5LwbJ/UZ4kTaHMQ==" saltValue="INxrPaZClJfR1yDNLE8L+g==" spinCount="100000" sheet="1" objects="1" scenarios="1"/>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34B9D-D6B0-4F5B-B19D-5A882004F2F3}">
  <sheetPr>
    <tabColor theme="3" tint="0.249977111117893"/>
  </sheetPr>
  <dimension ref="B3:H98"/>
  <sheetViews>
    <sheetView topLeftCell="A26" zoomScale="70" zoomScaleNormal="70" workbookViewId="0">
      <selection activeCell="B42" sqref="B42"/>
    </sheetView>
  </sheetViews>
  <sheetFormatPr defaultColWidth="8.77734375" defaultRowHeight="13.2" x14ac:dyDescent="0.25"/>
  <cols>
    <col min="1" max="1" width="6" customWidth="1"/>
    <col min="2" max="2" width="49.5546875" bestFit="1" customWidth="1"/>
    <col min="3" max="3" width="51.6640625" bestFit="1" customWidth="1"/>
  </cols>
  <sheetData>
    <row r="3" spans="2:2" ht="13.8" x14ac:dyDescent="0.3">
      <c r="B3" s="103" t="s">
        <v>225</v>
      </c>
    </row>
    <row r="4" spans="2:2" ht="13.8" x14ac:dyDescent="0.3">
      <c r="B4" s="104" t="s">
        <v>226</v>
      </c>
    </row>
    <row r="5" spans="2:2" ht="13.8" x14ac:dyDescent="0.3">
      <c r="B5" s="104" t="s">
        <v>227</v>
      </c>
    </row>
    <row r="6" spans="2:2" ht="13.8" x14ac:dyDescent="0.3">
      <c r="B6" s="104" t="s">
        <v>196</v>
      </c>
    </row>
    <row r="7" spans="2:2" ht="13.8" x14ac:dyDescent="0.3">
      <c r="B7" s="104" t="s">
        <v>228</v>
      </c>
    </row>
    <row r="8" spans="2:2" ht="13.8" x14ac:dyDescent="0.3">
      <c r="B8" s="29"/>
    </row>
    <row r="9" spans="2:2" ht="13.8" x14ac:dyDescent="0.3">
      <c r="B9" s="103" t="s">
        <v>149</v>
      </c>
    </row>
    <row r="10" spans="2:2" ht="13.8" x14ac:dyDescent="0.3">
      <c r="B10" s="104">
        <v>0</v>
      </c>
    </row>
    <row r="11" spans="2:2" ht="13.8" x14ac:dyDescent="0.3">
      <c r="B11" s="104">
        <v>1</v>
      </c>
    </row>
    <row r="12" spans="2:2" ht="13.8" x14ac:dyDescent="0.3">
      <c r="B12" s="104">
        <v>2</v>
      </c>
    </row>
    <row r="13" spans="2:2" ht="13.8" x14ac:dyDescent="0.3">
      <c r="B13" s="104">
        <v>3</v>
      </c>
    </row>
    <row r="14" spans="2:2" ht="13.8" x14ac:dyDescent="0.3">
      <c r="B14" s="104">
        <v>4</v>
      </c>
    </row>
    <row r="15" spans="2:2" ht="13.8" x14ac:dyDescent="0.3">
      <c r="B15" s="29"/>
    </row>
    <row r="16" spans="2:2" ht="13.8" x14ac:dyDescent="0.3">
      <c r="B16" s="103" t="s">
        <v>150</v>
      </c>
    </row>
    <row r="17" spans="2:3" ht="13.8" x14ac:dyDescent="0.3">
      <c r="B17" s="104" t="s">
        <v>151</v>
      </c>
    </row>
    <row r="18" spans="2:3" ht="13.8" x14ac:dyDescent="0.3">
      <c r="B18" s="104" t="s">
        <v>120</v>
      </c>
    </row>
    <row r="19" spans="2:3" ht="13.8" x14ac:dyDescent="0.3">
      <c r="B19" s="104" t="s">
        <v>152</v>
      </c>
    </row>
    <row r="20" spans="2:3" ht="13.8" x14ac:dyDescent="0.3">
      <c r="B20" s="104" t="s">
        <v>261</v>
      </c>
    </row>
    <row r="21" spans="2:3" ht="13.8" x14ac:dyDescent="0.3">
      <c r="B21" s="104" t="s">
        <v>262</v>
      </c>
    </row>
    <row r="22" spans="2:3" ht="13.8" x14ac:dyDescent="0.3">
      <c r="B22" s="29"/>
    </row>
    <row r="23" spans="2:3" ht="13.8" x14ac:dyDescent="0.3">
      <c r="B23" s="103" t="s">
        <v>193</v>
      </c>
    </row>
    <row r="24" spans="2:3" ht="13.8" x14ac:dyDescent="0.3">
      <c r="B24" s="45">
        <v>3000</v>
      </c>
    </row>
    <row r="25" spans="2:3" ht="13.8" x14ac:dyDescent="0.3">
      <c r="B25" s="104" t="b">
        <f>AND(
    'User Inputs'!$F$10=1,
    COUNTIF('User Inputs'!$B$34,"Mechanical Insulation")
    +COUNTIF('User Inputs'!$D$34,"Mechanical Insulation")
    +COUNTIF('User Inputs'!$F$34,"Mechanical Insulation")
    +COUNTIF('User Inputs'!$H$34,"Mechanical Insulation")=1,
    OR(
        'User Inputs'!$B$10='Dev. Notes'!$B$17,
        'User Inputs'!$H$10='Dev. Notes'!$B$4
    )
)</f>
        <v>0</v>
      </c>
    </row>
    <row r="27" spans="2:3" ht="13.8" x14ac:dyDescent="0.3">
      <c r="B27" s="103" t="s">
        <v>109</v>
      </c>
    </row>
    <row r="28" spans="2:3" ht="13.8" x14ac:dyDescent="0.3">
      <c r="B28" s="104" t="s">
        <v>118</v>
      </c>
    </row>
    <row r="29" spans="2:3" ht="13.8" x14ac:dyDescent="0.3">
      <c r="B29" s="104" t="s">
        <v>195</v>
      </c>
    </row>
    <row r="30" spans="2:3" ht="13.8" x14ac:dyDescent="0.3">
      <c r="B30" s="29"/>
    </row>
    <row r="31" spans="2:3" ht="13.8" x14ac:dyDescent="0.3">
      <c r="B31" s="401" t="s">
        <v>235</v>
      </c>
      <c r="C31" s="402"/>
    </row>
    <row r="32" spans="2:3" ht="13.8" x14ac:dyDescent="0.3">
      <c r="B32" s="105" t="s">
        <v>255</v>
      </c>
      <c r="C32" s="105" t="s">
        <v>236</v>
      </c>
    </row>
    <row r="33" spans="2:3" ht="13.8" x14ac:dyDescent="0.3">
      <c r="B33" s="104" t="s">
        <v>237</v>
      </c>
      <c r="C33" s="104" t="str" cm="1">
        <f t="array" ref="C33">_xlfn.SWITCH(
'User Inputs'!$B$10,
$B$18,'MEA Incentives'!$A$40,
$B$19,'MEA Incentives'!$A$48,
$B$20,'MEA Incentives'!$A$56,
$B$21,'MEA Incentives'!$A$56,
""
)</f>
        <v/>
      </c>
    </row>
    <row r="34" spans="2:3" ht="13.8" x14ac:dyDescent="0.3">
      <c r="B34" s="104" t="s">
        <v>238</v>
      </c>
      <c r="C34" s="104">
        <f>IF(
    $C$33="",
    0,
    IFERROR(
        MATCH($C$33,'MEA Incentives'!$A$1:$A$61,0),
        0
    )
)</f>
        <v>0</v>
      </c>
    </row>
    <row r="35" spans="2:3" ht="13.8" x14ac:dyDescent="0.3">
      <c r="B35" s="104" t="s">
        <v>239</v>
      </c>
      <c r="C35" s="104" cm="1">
        <f t="array" ref="C35">IFERROR(
_xlfn.SWITCH(
'User Inputs'!$D$58,
$B$28,2,
$B$29,3,
0
),
0
)</f>
        <v>0</v>
      </c>
    </row>
    <row r="36" spans="2:3" ht="13.8" x14ac:dyDescent="0.3">
      <c r="B36" s="104" t="s">
        <v>240</v>
      </c>
      <c r="C36" s="104" cm="1">
        <f t="array" ref="C36">IFERROR(
_xlfn.SWITCH(
'User Inputs'!$D$60,
$B$28,2,
$B$29,3,
0
),
0
)</f>
        <v>0</v>
      </c>
    </row>
    <row r="37" spans="2:3" ht="13.8" x14ac:dyDescent="0.3">
      <c r="B37" s="104" t="s">
        <v>241</v>
      </c>
      <c r="C37" s="104">
        <f>IF(
$C$34=0,
0,
$C$34+1
)</f>
        <v>0</v>
      </c>
    </row>
    <row r="38" spans="2:3" ht="13.8" x14ac:dyDescent="0.3">
      <c r="B38" s="104" t="s">
        <v>242</v>
      </c>
      <c r="C38" s="104">
        <f>IF(
$C$34=0,
0,
$C$34+2
)</f>
        <v>0</v>
      </c>
    </row>
    <row r="39" spans="2:3" ht="13.8" x14ac:dyDescent="0.3">
      <c r="B39" s="104" t="s">
        <v>243</v>
      </c>
      <c r="C39" s="104">
        <f>IF(
$C$34=0,
0,
$C$34+3
)</f>
        <v>0</v>
      </c>
    </row>
    <row r="40" spans="2:3" ht="13.8" x14ac:dyDescent="0.3">
      <c r="B40" s="104" t="s">
        <v>244</v>
      </c>
      <c r="C40" s="104">
        <f>IF(
$C$34=0,
0,
$C$34+4
)</f>
        <v>0</v>
      </c>
    </row>
    <row r="41" spans="2:3" ht="13.8" x14ac:dyDescent="0.3">
      <c r="B41" s="104" t="s">
        <v>245</v>
      </c>
      <c r="C41" s="104" cm="1">
        <f t="array" ref="C41">_xlfn.LET(
    _xlpm.baseRate,
    IF(
        OR($C$37&lt;=0,$C$35&lt;=0),
        0,
        IFERROR(
            INDEX('MEA Incentives'!$A$1:$D$61,$C$37,$C$35),
            0
        )
    ),
    _xlpm.bonusRate,
    IF(
        AND(
            _xlpm.baseRate&gt;0,
            OR(
                'User Inputs'!$B$10=$B$21,
                AND(
                    'User Inputs'!$B$10=$B$18,
                    'User Inputs'!$B$12="Yes"
                )
            )
        ),
        IFERROR(
            INDEX('MEA Incentives'!$A$1:$D$61,$C$37,4),
            0
        ),
        0
    ),
    _xlpm.baseRate+_xlpm.bonusRate
)</f>
        <v>0</v>
      </c>
    </row>
    <row r="42" spans="2:3" ht="13.8" x14ac:dyDescent="0.3">
      <c r="B42" s="104" t="s">
        <v>246</v>
      </c>
      <c r="C42" s="104" cm="1">
        <f t="array" ref="C42">_xlfn.LET(
    _xlpm.baseRate,
    IF(
        OR($C$38&lt;=0,$C$36&lt;=0),
        0,
        IFERROR(
            INDEX('MEA Incentives'!$A$1:$D$61,$C$38,$C$36),
            0
        )
    ),
    _xlpm.bonusRate,
    IF(
        AND(
            _xlpm.baseRate&gt;0,
            OR(
                'User Inputs'!$B$10=$B$21,
                AND(
                    'User Inputs'!$B$10=$B$18,
                    'User Inputs'!$B$12="Yes"
                )
            )
        ),
        IFERROR(
            INDEX('MEA Incentives'!$A$1:$D$61,$C$38,4),
            0
        ),
        0
    ),
    _xlpm.baseRate+_xlpm.bonusRate
)</f>
        <v>0</v>
      </c>
    </row>
    <row r="43" spans="2:3" ht="13.8" x14ac:dyDescent="0.3">
      <c r="B43" s="104" t="s">
        <v>247</v>
      </c>
      <c r="C43" s="104" cm="1">
        <f t="array" ref="C43">IF(
    OR($C$39&lt;=0,$C$35&lt;=0),
    0,
    IFERROR(
        INDEX('MEA Incentives'!$A$1:$D$61,$C$39,$C$35),
        0
    )
)</f>
        <v>0</v>
      </c>
    </row>
    <row r="44" spans="2:3" ht="13.8" x14ac:dyDescent="0.3">
      <c r="B44" s="104" t="s">
        <v>248</v>
      </c>
      <c r="C44" s="104" cm="1">
        <f t="array" ref="C44">IF(
    OR($C$40&lt;=0,$C$35&lt;=0),
    0,
    IFERROR(
        INDEX('MEA Incentives'!$A$1:$D$61,$C$40,$C$35),
        0
    )
)</f>
        <v>0</v>
      </c>
    </row>
    <row r="45" spans="2:3" ht="13.8" x14ac:dyDescent="0.3">
      <c r="B45" s="104" t="s">
        <v>249</v>
      </c>
      <c r="C45" s="104" cm="1">
        <f t="array" ref="C45">IF(
    OR($C$39&lt;=0,$C$36&lt;=0),
    0,
    IFERROR(
        INDEX('MEA Incentives'!$A$1:$D$61,$C$39,$C$36),
        0
    )
)</f>
        <v>0</v>
      </c>
    </row>
    <row r="46" spans="2:3" ht="13.8" x14ac:dyDescent="0.3">
      <c r="B46" s="104" t="s">
        <v>250</v>
      </c>
      <c r="C46" s="104" cm="1">
        <f t="array" ref="C46">IF(
    OR($C$40&lt;=0,$C$36&lt;=0),
    0,
    IFERROR(
        INDEX('MEA Incentives'!$A$1:$D$61,$C$40,$C$36),
        0
    )
)</f>
        <v>0</v>
      </c>
    </row>
    <row r="47" spans="2:3" ht="13.8" x14ac:dyDescent="0.3">
      <c r="B47" s="104" t="s">
        <v>251</v>
      </c>
      <c r="C47" s="104">
        <f>IF(
OR(
'User Inputs'!$B$10=$B$17,
'User Inputs'!$H$10=$B$4
),
0,
IF(
OR(
'User Inputs'!$H$10=$B$5,
'User Inputs'!$H$10=$B$7
),
IFERROR(--'User Inputs'!$B$58,0)*$C$41,
0
)
)</f>
        <v>0</v>
      </c>
    </row>
    <row r="48" spans="2:3" ht="13.8" x14ac:dyDescent="0.3">
      <c r="B48" s="104" t="s">
        <v>252</v>
      </c>
      <c r="C48" s="104">
        <f>IF(
OR(
$C$47&lt;=0,
$C$41&lt;=0,
$C$43&lt;=0,
$C$44&lt;=0,
MIN($C$47,$C$44)&lt;$C$43
),
0,
MIN($C$47,$C$44)
)</f>
        <v>0</v>
      </c>
    </row>
    <row r="49" spans="2:3" ht="13.8" x14ac:dyDescent="0.3">
      <c r="B49" s="104" t="s">
        <v>253</v>
      </c>
      <c r="C49" s="104">
        <f>IF(
OR(
'User Inputs'!$B$10=$B$17,
'User Inputs'!$H$10=$B$4
),
0,
IF(
OR(
'User Inputs'!$H$10=$B$6,
'User Inputs'!$H$10=$B$7
),
IFERROR(--'User Inputs'!$B$60,0)*$C$42,
0
)
)</f>
        <v>0</v>
      </c>
    </row>
    <row r="50" spans="2:3" ht="13.8" x14ac:dyDescent="0.3">
      <c r="B50" s="104" t="s">
        <v>254</v>
      </c>
      <c r="C50" s="104">
        <f>IF(
OR(
$C$49&lt;=0,
$C$42&lt;=0,
$C$45&lt;=0,
$C$46&lt;=0,
MIN($C$49,$C$46)&lt;$C$45
),
0,
MIN($C$49,$C$46)
)</f>
        <v>0</v>
      </c>
    </row>
    <row r="51" spans="2:3" ht="13.8" x14ac:dyDescent="0.3">
      <c r="B51" s="29"/>
      <c r="C51" s="29"/>
    </row>
    <row r="52" spans="2:3" ht="13.8" x14ac:dyDescent="0.3">
      <c r="B52" s="29"/>
      <c r="C52" s="29"/>
    </row>
    <row r="53" spans="2:3" ht="13.8" x14ac:dyDescent="0.3">
      <c r="B53" s="29"/>
      <c r="C53" s="29"/>
    </row>
    <row r="54" spans="2:3" ht="13.8" x14ac:dyDescent="0.3">
      <c r="B54" s="103" t="s">
        <v>315</v>
      </c>
      <c r="C54" s="29"/>
    </row>
    <row r="55" spans="2:3" ht="13.8" x14ac:dyDescent="0.3">
      <c r="B55" s="104" t="s">
        <v>291</v>
      </c>
      <c r="C55" s="29"/>
    </row>
    <row r="56" spans="2:3" ht="13.8" x14ac:dyDescent="0.3">
      <c r="B56" s="104" t="s">
        <v>292</v>
      </c>
      <c r="C56" s="29"/>
    </row>
    <row r="57" spans="2:3" ht="13.8" x14ac:dyDescent="0.3">
      <c r="B57" s="104" t="s">
        <v>293</v>
      </c>
      <c r="C57" s="29"/>
    </row>
    <row r="58" spans="2:3" ht="13.8" x14ac:dyDescent="0.3">
      <c r="B58" s="104" t="s">
        <v>314</v>
      </c>
      <c r="C58" s="29"/>
    </row>
    <row r="59" spans="2:3" ht="13.8" x14ac:dyDescent="0.3">
      <c r="B59" s="104" t="s">
        <v>294</v>
      </c>
      <c r="C59" s="29"/>
    </row>
    <row r="60" spans="2:3" ht="13.8" x14ac:dyDescent="0.3">
      <c r="B60" s="104" t="s">
        <v>295</v>
      </c>
      <c r="C60" s="29"/>
    </row>
    <row r="61" spans="2:3" ht="13.8" x14ac:dyDescent="0.3">
      <c r="B61" s="104" t="s">
        <v>296</v>
      </c>
      <c r="C61" s="29"/>
    </row>
    <row r="62" spans="2:3" ht="13.8" x14ac:dyDescent="0.3">
      <c r="B62" s="104" t="s">
        <v>297</v>
      </c>
      <c r="C62" s="29"/>
    </row>
    <row r="63" spans="2:3" ht="13.8" x14ac:dyDescent="0.3">
      <c r="B63" s="104" t="s">
        <v>298</v>
      </c>
      <c r="C63" s="29"/>
    </row>
    <row r="64" spans="2:3" ht="13.8" x14ac:dyDescent="0.3">
      <c r="B64" s="104" t="s">
        <v>299</v>
      </c>
      <c r="C64" s="29"/>
    </row>
    <row r="65" spans="2:3" ht="13.8" x14ac:dyDescent="0.3">
      <c r="B65" s="104" t="s">
        <v>300</v>
      </c>
      <c r="C65" s="29"/>
    </row>
    <row r="66" spans="2:3" ht="13.8" x14ac:dyDescent="0.3">
      <c r="B66" s="104" t="s">
        <v>301</v>
      </c>
      <c r="C66" s="29"/>
    </row>
    <row r="67" spans="2:3" ht="13.8" x14ac:dyDescent="0.3">
      <c r="B67" s="104" t="s">
        <v>302</v>
      </c>
      <c r="C67" s="29"/>
    </row>
    <row r="68" spans="2:3" ht="13.8" x14ac:dyDescent="0.3">
      <c r="B68" s="104" t="s">
        <v>303</v>
      </c>
      <c r="C68" s="29"/>
    </row>
    <row r="69" spans="2:3" ht="13.8" x14ac:dyDescent="0.3">
      <c r="B69" s="104" t="s">
        <v>304</v>
      </c>
      <c r="C69" s="29"/>
    </row>
    <row r="70" spans="2:3" ht="13.8" x14ac:dyDescent="0.3">
      <c r="B70" s="104" t="s">
        <v>305</v>
      </c>
      <c r="C70" s="29"/>
    </row>
    <row r="71" spans="2:3" ht="13.8" x14ac:dyDescent="0.3">
      <c r="B71" s="104" t="s">
        <v>306</v>
      </c>
      <c r="C71" s="29"/>
    </row>
    <row r="72" spans="2:3" ht="13.8" x14ac:dyDescent="0.3">
      <c r="B72" s="104" t="s">
        <v>307</v>
      </c>
      <c r="C72" s="29"/>
    </row>
    <row r="73" spans="2:3" ht="13.8" x14ac:dyDescent="0.3">
      <c r="B73" s="104" t="s">
        <v>308</v>
      </c>
      <c r="C73" s="29"/>
    </row>
    <row r="74" spans="2:3" ht="13.8" x14ac:dyDescent="0.3">
      <c r="B74" s="104" t="s">
        <v>309</v>
      </c>
      <c r="C74" s="29"/>
    </row>
    <row r="75" spans="2:3" ht="13.8" x14ac:dyDescent="0.3">
      <c r="B75" s="104" t="s">
        <v>310</v>
      </c>
      <c r="C75" s="29"/>
    </row>
    <row r="76" spans="2:3" ht="13.8" x14ac:dyDescent="0.3">
      <c r="B76" s="104" t="s">
        <v>311</v>
      </c>
      <c r="C76" s="29"/>
    </row>
    <row r="77" spans="2:3" ht="13.8" x14ac:dyDescent="0.3">
      <c r="B77" s="104" t="s">
        <v>312</v>
      </c>
      <c r="C77" s="29"/>
    </row>
    <row r="78" spans="2:3" ht="13.8" x14ac:dyDescent="0.3">
      <c r="B78" s="104" t="s">
        <v>313</v>
      </c>
      <c r="C78" s="29"/>
    </row>
    <row r="79" spans="2:3" ht="13.8" x14ac:dyDescent="0.3">
      <c r="B79" s="29"/>
      <c r="C79" s="29"/>
    </row>
    <row r="80" spans="2:3" ht="13.8" x14ac:dyDescent="0.3">
      <c r="B80" s="29"/>
      <c r="C80" s="29"/>
    </row>
    <row r="81" spans="2:8" ht="13.8" x14ac:dyDescent="0.3">
      <c r="B81" s="103" t="s">
        <v>327</v>
      </c>
      <c r="C81" s="29"/>
    </row>
    <row r="82" spans="2:8" ht="13.8" x14ac:dyDescent="0.3">
      <c r="B82" s="104" t="s">
        <v>325</v>
      </c>
      <c r="C82" s="29"/>
    </row>
    <row r="83" spans="2:8" ht="13.8" x14ac:dyDescent="0.3">
      <c r="B83" s="104" t="s">
        <v>329</v>
      </c>
      <c r="C83" s="29"/>
    </row>
    <row r="84" spans="2:8" ht="13.8" x14ac:dyDescent="0.3">
      <c r="B84" s="104" t="s">
        <v>326</v>
      </c>
      <c r="C84" s="29"/>
    </row>
    <row r="85" spans="2:8" ht="13.8" x14ac:dyDescent="0.3">
      <c r="B85" s="104"/>
      <c r="C85" s="29"/>
    </row>
    <row r="86" spans="2:8" ht="13.8" x14ac:dyDescent="0.3">
      <c r="B86" s="104"/>
      <c r="C86" s="29"/>
    </row>
    <row r="87" spans="2:8" ht="13.8" x14ac:dyDescent="0.3">
      <c r="B87" s="104"/>
      <c r="C87" s="29"/>
    </row>
    <row r="88" spans="2:8" ht="13.8" x14ac:dyDescent="0.3">
      <c r="B88" s="29"/>
    </row>
    <row r="90" spans="2:8" ht="13.8" x14ac:dyDescent="0.3">
      <c r="B90" s="106" t="s">
        <v>153</v>
      </c>
      <c r="C90" s="29"/>
      <c r="D90" s="29"/>
      <c r="E90" s="29"/>
      <c r="F90" s="29"/>
      <c r="G90" s="29"/>
      <c r="H90" s="29"/>
    </row>
    <row r="91" spans="2:8" ht="13.8" x14ac:dyDescent="0.3">
      <c r="B91" s="29" t="s">
        <v>156</v>
      </c>
      <c r="C91" s="29" t="s">
        <v>157</v>
      </c>
      <c r="D91" s="29"/>
      <c r="E91" s="29"/>
      <c r="F91" s="29"/>
      <c r="G91" s="29"/>
      <c r="H91" s="29"/>
    </row>
    <row r="92" spans="2:8" ht="13.8" x14ac:dyDescent="0.3">
      <c r="B92" s="29" t="s">
        <v>158</v>
      </c>
      <c r="C92" s="29" t="s">
        <v>161</v>
      </c>
      <c r="D92" s="29"/>
      <c r="E92" s="29"/>
      <c r="F92" s="29"/>
      <c r="G92" s="29"/>
      <c r="H92" s="29"/>
    </row>
    <row r="93" spans="2:8" ht="13.8" x14ac:dyDescent="0.3">
      <c r="B93" s="29" t="s">
        <v>159</v>
      </c>
      <c r="C93" s="29" t="s">
        <v>160</v>
      </c>
      <c r="D93" s="29"/>
      <c r="E93" s="29"/>
      <c r="F93" s="29"/>
      <c r="G93" s="29"/>
      <c r="H93" s="29"/>
    </row>
    <row r="94" spans="2:8" ht="13.8" x14ac:dyDescent="0.3">
      <c r="B94" s="29" t="s">
        <v>162</v>
      </c>
      <c r="C94" s="29" t="s">
        <v>164</v>
      </c>
      <c r="D94" s="29"/>
      <c r="E94" s="29"/>
      <c r="F94" s="29"/>
      <c r="G94" s="29"/>
      <c r="H94" s="29"/>
    </row>
    <row r="95" spans="2:8" ht="13.8" x14ac:dyDescent="0.3">
      <c r="B95" s="29" t="s">
        <v>163</v>
      </c>
      <c r="C95" s="29" t="s">
        <v>165</v>
      </c>
      <c r="D95" s="29"/>
      <c r="E95" s="29"/>
      <c r="F95" s="29"/>
      <c r="G95" s="29"/>
      <c r="H95" s="29"/>
    </row>
    <row r="96" spans="2:8" ht="13.8" x14ac:dyDescent="0.3">
      <c r="B96" s="29" t="s">
        <v>171</v>
      </c>
      <c r="C96" s="29" t="s">
        <v>172</v>
      </c>
    </row>
    <row r="97" spans="2:3" ht="13.8" x14ac:dyDescent="0.3">
      <c r="B97" s="29" t="s">
        <v>288</v>
      </c>
      <c r="C97" s="107" t="s">
        <v>290</v>
      </c>
    </row>
    <row r="98" spans="2:3" ht="13.8" x14ac:dyDescent="0.3">
      <c r="B98" s="29" t="s">
        <v>288</v>
      </c>
      <c r="C98" s="108" t="s">
        <v>289</v>
      </c>
    </row>
  </sheetData>
  <sheetProtection algorithmName="SHA-512" hashValue="F7NKyr0nM/0eqbsuoPim7k25hIl8P/iOVUfqWPQy6umWnlW4gxvSLX2+HFriAVogBp7PCLRIPENt/XZgffbqQQ==" saltValue="k3LVQhj2cQGGjNRPZ2FG1g==" spinCount="100000" sheet="1" objects="1" scenarios="1"/>
  <mergeCells count="1">
    <mergeCell ref="B31:C3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6463BC55611C469CEDABDE6104E5EF" ma:contentTypeVersion="1" ma:contentTypeDescription="Create a new document." ma:contentTypeScope="" ma:versionID="599a758b4d8c3a9727cb2e42395f621f">
  <xsd:schema xmlns:xsd="http://www.w3.org/2001/XMLSchema" xmlns:xs="http://www.w3.org/2001/XMLSchema" xmlns:p="http://schemas.microsoft.com/office/2006/metadata/properties" targetNamespace="http://schemas.microsoft.com/office/2006/metadata/properties" ma:root="true" ma:fieldsID="7dcc10a156eb2aa295318eab019ded2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34C657-BD67-47EE-A4FF-BF6BFD1A9C07}">
  <ds:schemaRefs>
    <ds:schemaRef ds:uri="http://schemas.microsoft.com/sharepoint/v3/contenttype/forms"/>
  </ds:schemaRefs>
</ds:datastoreItem>
</file>

<file path=customXml/itemProps2.xml><?xml version="1.0" encoding="utf-8"?>
<ds:datastoreItem xmlns:ds="http://schemas.openxmlformats.org/officeDocument/2006/customXml" ds:itemID="{E2AEB667-7F83-4FE7-ADF2-49083CC2C8E7}"/>
</file>

<file path=customXml/itemProps3.xml><?xml version="1.0" encoding="utf-8"?>
<ds:datastoreItem xmlns:ds="http://schemas.openxmlformats.org/officeDocument/2006/customXml" ds:itemID="{805B065E-D635-4298-A33F-C2814AB23463}">
  <ds:schemaRefs>
    <ds:schemaRef ds:uri="http://purl.org/dc/elements/1.1/"/>
    <ds:schemaRef ds:uri="http://schemas.microsoft.com/office/2006/documentManagement/types"/>
    <ds:schemaRef ds:uri="c73627f2-9386-4f44-93bc-51c4e68b30c8"/>
    <ds:schemaRef ds:uri="http://schemas.openxmlformats.org/package/2006/metadata/core-properties"/>
    <ds:schemaRef ds:uri="http://schemas.microsoft.com/office/infopath/2007/PartnerControls"/>
    <ds:schemaRef ds:uri="http://purl.org/dc/dcmitype/"/>
    <ds:schemaRef ds:uri="http://purl.org/dc/terms/"/>
    <ds:schemaRef ds:uri="b77612ce-33e4-4e80-a4f2-9174949c1b5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User Inputs</vt:lpstr>
      <vt:lpstr>Budget &amp; Timeline</vt:lpstr>
      <vt:lpstr>Calculated Metrics</vt:lpstr>
      <vt:lpstr>Embedded Values</vt:lpstr>
      <vt:lpstr>MEA Incentives</vt:lpstr>
      <vt:lpstr>Updates Log</vt:lpstr>
      <vt:lpstr>Dev.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Lackay -MEA-</dc:creator>
  <cp:lastModifiedBy>Megan Lackay -MEA-</cp:lastModifiedBy>
  <dcterms:created xsi:type="dcterms:W3CDTF">2026-05-06T14:00:16Z</dcterms:created>
  <dcterms:modified xsi:type="dcterms:W3CDTF">2026-09-15T13:45:36Z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0x010100A96463BC55611C469CEDABDE6104E5EF</vt:lpwstr>
  </property>
  <property fmtid="{D5CDD505-2E9C-101B-9397-08002B2CF9AE}" pid="3" name="MediaServiceImageTags">
    <vt:lpwstr/>
  </property>
</Properties>
</file>