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egan.lackay\Desktop\Final FY27 CCB Calculator_Updated 092326\"/>
    </mc:Choice>
  </mc:AlternateContent>
  <xr:revisionPtr revIDLastSave="0" documentId="13_ncr:1_{FAC7CD0A-8ED6-4588-B4A5-0B853CF12427}" xr6:coauthVersionLast="47" xr6:coauthVersionMax="47" xr10:uidLastSave="{00000000-0000-0000-0000-000000000000}"/>
  <bookViews>
    <workbookView xWindow="-108" yWindow="-108" windowWidth="23256" windowHeight="12456" firstSheet="1" activeTab="1" xr2:uid="{00000000-000D-0000-FFFF-FFFF00000000}"/>
  </bookViews>
  <sheets>
    <sheet name="Instructions" sheetId="12" r:id="rId1"/>
    <sheet name="User Inputs" sheetId="11" r:id="rId2"/>
    <sheet name="Budget &amp; Timeline" sheetId="15" r:id="rId3"/>
    <sheet name="Calculated Metrics" sheetId="14" r:id="rId4"/>
    <sheet name="Embedded Values" sheetId="5" r:id="rId5"/>
    <sheet name="MEA Incentives" sheetId="6" r:id="rId6"/>
    <sheet name="Updates Log" sheetId="18" r:id="rId7"/>
    <sheet name="Dev. Notes" sheetId="16" state="hidden" r:id="rId8"/>
  </sheets>
  <definedNames>
    <definedName name="Active_ECMs">CHOOSE({1,2,3,4}, 'User Inputs'!$B$34, 'User Inputs'!$D$34, 'User Inputs'!$F$34, 'User Inputs'!$H$34 )</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15" l="1"/>
  <c r="B25" i="16"/>
  <c r="C93" i="16"/>
  <c r="J12" i="14" s="1"/>
  <c r="C99" i="16"/>
  <c r="C98" i="16"/>
  <c r="C92" i="16"/>
  <c r="J67" i="11"/>
  <c r="J65" i="11"/>
  <c r="B72" i="11"/>
  <c r="C36" i="16" a="1"/>
  <c r="A66" i="11"/>
  <c r="A59" i="11"/>
  <c r="C35" i="16" a="1"/>
  <c r="C33" i="16" a="1"/>
  <c r="F36" i="14" a="1"/>
  <c r="B36" i="14" l="1"/>
  <c r="D38" i="14"/>
  <c r="D22" i="14"/>
  <c r="B8" i="14"/>
  <c r="D8" i="14"/>
  <c r="D16" i="14" s="1"/>
  <c r="H8" i="14"/>
  <c r="H16" i="14" s="1"/>
  <c r="J8" i="14"/>
  <c r="J16" i="14" s="1"/>
  <c r="D36" i="14"/>
  <c r="B22" i="14"/>
  <c r="B38" i="14"/>
  <c r="F8" i="14"/>
  <c r="F16" i="14" s="1"/>
  <c r="C100" i="16"/>
  <c r="C94" i="16"/>
  <c r="E30" i="14"/>
  <c r="E28" i="14"/>
  <c r="F22" i="14" a="1"/>
  <c r="I34" i="11" l="1"/>
  <c r="H18" i="14"/>
  <c r="J18" i="14" s="1"/>
  <c r="D72" i="11"/>
  <c r="B16" i="14"/>
  <c r="D6" i="15"/>
  <c r="B6" i="15"/>
  <c r="D28" i="11" l="1"/>
  <c r="C18" i="14"/>
  <c r="A18" i="14"/>
  <c r="B18" i="14" l="1"/>
  <c r="J28" i="11"/>
  <c r="H28" i="11"/>
  <c r="F28" i="11"/>
  <c r="B28" i="11"/>
  <c r="A47" i="11" l="1"/>
  <c r="A41" i="11"/>
  <c r="A43" i="11"/>
  <c r="A45" i="11"/>
  <c r="B43" i="6"/>
  <c r="I45" i="11" l="1"/>
  <c r="G45" i="11"/>
  <c r="E41" i="11"/>
  <c r="G41" i="11"/>
  <c r="C52" i="11"/>
  <c r="G43" i="11"/>
  <c r="G52" i="11"/>
  <c r="G47" i="11"/>
  <c r="C47" i="11"/>
  <c r="I47" i="11"/>
  <c r="E47" i="11"/>
  <c r="E52" i="11"/>
  <c r="I41" i="11"/>
  <c r="A52" i="11"/>
  <c r="E45" i="11"/>
  <c r="C45" i="11"/>
  <c r="C43" i="11"/>
  <c r="E43" i="11"/>
  <c r="I43" i="11"/>
  <c r="C41" i="11"/>
  <c r="C43" i="6" l="1"/>
  <c r="H72" i="11" l="1"/>
  <c r="D18" i="14"/>
  <c r="F28" i="14" l="1"/>
  <c r="F72" i="11"/>
  <c r="F30" i="14" l="1"/>
  <c r="C36" i="16" l="1"/>
  <c r="C35" i="16"/>
  <c r="C33" i="16"/>
  <c r="C34" i="16" s="1"/>
  <c r="F36" i="14"/>
  <c r="F22" i="14"/>
  <c r="F38" i="14" l="1"/>
  <c r="J38" i="14" s="1"/>
  <c r="J36" i="14"/>
  <c r="C40" i="16"/>
  <c r="C38" i="16"/>
  <c r="C42" i="16" s="1" a="1"/>
  <c r="C42" i="16" s="1"/>
  <c r="C49" i="16" s="1"/>
  <c r="C37" i="16"/>
  <c r="C41" i="16" s="1" a="1"/>
  <c r="C41" i="16" s="1"/>
  <c r="C39" i="16"/>
  <c r="C45" i="16" l="1" a="1"/>
  <c r="C45" i="16" s="1"/>
  <c r="C43" i="16" a="1"/>
  <c r="C43" i="16" s="1"/>
  <c r="A65" i="11" a="1"/>
  <c r="A65" i="11" s="1"/>
  <c r="G28" i="14" s="1"/>
  <c r="C47" i="16"/>
  <c r="F24" i="14" a="1"/>
  <c r="F24" i="14" s="1"/>
  <c r="A67" i="11" a="1"/>
  <c r="A67" i="11" s="1"/>
  <c r="G30" i="14" s="1"/>
  <c r="C50" i="16"/>
  <c r="C46" i="16" a="1"/>
  <c r="C46" i="16" s="1"/>
  <c r="C44" i="16" a="1"/>
  <c r="C44" i="16" s="1"/>
  <c r="D24" i="14" a="1"/>
  <c r="B24" i="14" a="1"/>
  <c r="B24" i="14" s="1"/>
  <c r="D24" i="14" l="1"/>
  <c r="B26" i="14"/>
  <c r="G22" i="14" s="1"/>
  <c r="C48" i="16"/>
  <c r="F26" i="14" a="1"/>
  <c r="D26" i="14" l="1"/>
  <c r="G24" i="14" s="1"/>
  <c r="F26" i="14"/>
  <c r="G32" i="14" l="1" a="1"/>
  <c r="G32" i="14" s="1"/>
  <c r="F32" i="14" a="1"/>
  <c r="F32" i="14" s="1"/>
  <c r="C18" i="15" s="1"/>
  <c r="G26" i="14" a="1"/>
  <c r="G26" i="14" s="1"/>
  <c r="J72" i="11" l="1"/>
  <c r="C19" i="15"/>
  <c r="E18" i="15" s="1"/>
  <c r="E12" i="15" l="1"/>
  <c r="E13" i="15"/>
  <c r="E15" i="15"/>
  <c r="E16" i="15"/>
  <c r="E17" i="15"/>
  <c r="E14" i="15"/>
  <c r="E11" i="15"/>
  <c r="E19"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Emmanuel Iddio</author>
  </authors>
  <commentList>
    <comment ref="G8" authorId="0" shapeId="0" xr:uid="{09DCC1EF-F36D-4EE6-963D-16B10C3FAFC1}">
      <text>
        <r>
          <rPr>
            <sz val="11"/>
            <color indexed="81"/>
            <rFont val="Tahoma"/>
            <family val="2"/>
          </rPr>
          <t>This field is required only for State BEPS-covered buildings.</t>
        </r>
      </text>
    </comment>
    <comment ref="I8" authorId="0" shapeId="0" xr:uid="{D770F01B-FC67-4A45-A9A3-D4DE74775298}">
      <text>
        <r>
          <rPr>
            <sz val="11"/>
            <color indexed="81"/>
            <rFont val="Tahoma"/>
            <family val="2"/>
          </rPr>
          <t>This field is required only for Montgomery County BEPS-covered buildings.</t>
        </r>
      </text>
    </comment>
    <comment ref="I23" authorId="0" shapeId="0" xr:uid="{2788C05B-502D-4531-B961-E67581EAA29D}">
      <text>
        <r>
          <rPr>
            <sz val="11"/>
            <color indexed="81"/>
            <rFont val="Tahoma"/>
            <family val="2"/>
          </rPr>
          <t>A ton of coal in this calculator refers to a short ton which equates to 2000 lbs</t>
        </r>
      </text>
    </comment>
    <comment ref="B39" authorId="0" shapeId="0" xr:uid="{70E0E98C-45C2-4D37-973C-90C093CE8BAF}">
      <text>
        <r>
          <rPr>
            <sz val="11"/>
            <color indexed="81"/>
            <rFont val="Tahoma"/>
            <family val="2"/>
          </rPr>
          <t>For electrification upgrades, electricity use is expected to increase, and the data under this field may be entered as a negative value for electricity use increases.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Emmanuel Iddio</author>
  </authors>
  <commentList>
    <comment ref="C17" authorId="0" shapeId="0" xr:uid="{EC903DB1-7072-4C81-84BB-DC9060F5A738}">
      <text>
        <r>
          <rPr>
            <sz val="12"/>
            <color indexed="81"/>
            <rFont val="Tahoma"/>
            <family val="2"/>
          </rPr>
          <t>A ton of coal in this calculator refers to a short ton which equates to 2000 lbs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<sst xmlns="http://schemas.openxmlformats.org/spreadsheetml/2006/main" count="557" uniqueCount="388">
  <si>
    <t>USER INSTRUCTIONS</t>
  </si>
  <si>
    <t>USER INPUTS</t>
  </si>
  <si>
    <t>Section</t>
  </si>
  <si>
    <t>Description</t>
  </si>
  <si>
    <t xml:space="preserve">
1. Project Information</t>
  </si>
  <si>
    <r>
      <t xml:space="preserve">
Enter basic project details, including applicant information, building characteristics, and applicable Energy Conservation Measures (ECMs). 
Select the number of ECMs to display the corresponding ECM input fields. For projects requesting more than four ECMs, please contact </t>
    </r>
    <r>
      <rPr>
        <u/>
        <sz val="16"/>
        <color theme="1" tint="0.14999847407452621"/>
        <rFont val="Aptos"/>
        <family val="2"/>
      </rPr>
      <t>commercialcommunity.mea@maryland.gov</t>
    </r>
    <r>
      <rPr>
        <sz val="16"/>
        <color theme="1" tint="0.14999847407452621"/>
        <rFont val="Aptos"/>
        <family val="2"/>
      </rPr>
      <t xml:space="preserve"> to request a version of the calculator that supports additional ECMs.</t>
    </r>
  </si>
  <si>
    <t xml:space="preserve">
2. Baseline Energy Consumption</t>
  </si>
  <si>
    <t xml:space="preserve">
Enter the building’s annual baseline energy consumption for electricity, natural gas, propane, Fuel Oil No. 2, and coal as applicable</t>
  </si>
  <si>
    <t xml:space="preserve">
3. Utility Rates</t>
  </si>
  <si>
    <t xml:space="preserve">
Standardized values are used as default utility rates to determine projected costs</t>
  </si>
  <si>
    <t xml:space="preserve">
4. Proposed Measures</t>
  </si>
  <si>
    <t xml:space="preserve">
5. Projected Energy Savings</t>
  </si>
  <si>
    <t xml:space="preserve">
Enter the estimated annual energy savings for each selected ECM, including electricity, natural gas, propane, Fuel Oil No. 2 savings, and coal as applicable</t>
  </si>
  <si>
    <t xml:space="preserve">
6. Projected Costs</t>
  </si>
  <si>
    <t xml:space="preserve">
Enter project costs for each selected ECM</t>
  </si>
  <si>
    <t xml:space="preserve">
7. Proposed Solar PV System</t>
  </si>
  <si>
    <t xml:space="preserve">
For projects that include Solar PV, enter the proposed system size, ownership, estimated annual electricity production, total project cost, and requested grant amount for each applicable installation type</t>
  </si>
  <si>
    <t xml:space="preserve">
8. Solar PV Grant Request Validation</t>
  </si>
  <si>
    <t xml:space="preserve">
Review the Solar PV validation results to confirm that the requested grant amount complies with the applicable MEA $/kW incentive rate and project cost share limit for each proposed installation type</t>
  </si>
  <si>
    <t xml:space="preserve">
9. Key Metrics</t>
  </si>
  <si>
    <t xml:space="preserve">
Provides an at-a-glance summary of key metrics, eliminating the need to switch between tabs
Total MEA Grant Request: The calculated Total MEA Grant Request represents the amount for which the project may qualify based on the applicable program requirements and applicant-entered information. It does not represent a final grant award.</t>
  </si>
  <si>
    <t>BUDGET &amp; TIMELINE</t>
  </si>
  <si>
    <t xml:space="preserve">
1. Funding Sources</t>
  </si>
  <si>
    <t xml:space="preserve">
Enter all project funding sources</t>
  </si>
  <si>
    <t xml:space="preserve">
2. Funding Uses</t>
  </si>
  <si>
    <t xml:space="preserve">
Enter the estimated project costs, including the proposed use of grant funds and other eligible project expenses</t>
  </si>
  <si>
    <t xml:space="preserve">
3. Timeline</t>
  </si>
  <si>
    <t xml:space="preserve">
Review the project timeline and enter the expected completion date for each applicable project milestone</t>
  </si>
  <si>
    <t>CALCULATED METRICS</t>
  </si>
  <si>
    <t xml:space="preserve">
1. Projected Energy Consumption</t>
  </si>
  <si>
    <t xml:space="preserve">
Displays projected post-project energy consumption based on baseline consumption as impacted by eligible ECM savings or increases, and applicable Solar production</t>
  </si>
  <si>
    <t xml:space="preserve">
2. Projected Costs</t>
  </si>
  <si>
    <t xml:space="preserve">
Displays eligible project costs based on the ECM and applicable Solar project costs entered in the User Inputs tab</t>
  </si>
  <si>
    <t xml:space="preserve">
3. Projected Savings</t>
  </si>
  <si>
    <t xml:space="preserve">
Displays projected annual energy and utility cost savings based on eligible ECM impacts and applicable Solar production</t>
  </si>
  <si>
    <t xml:space="preserve">
4. Funding Impact</t>
  </si>
  <si>
    <t xml:space="preserve">
Displays applicable incentive rates, calculated grant amounts, and applicable Solar PV funding metrics</t>
  </si>
  <si>
    <t xml:space="preserve">
5. Carbon Impact</t>
  </si>
  <si>
    <t xml:space="preserve">
Displays the estimated annual greenhouse gas (GHG) emissions reductions associated with the projected energy savings using emissions factors from the “Embedded Values” tab</t>
  </si>
  <si>
    <r>
      <t xml:space="preserve">USER INPUTS
</t>
    </r>
    <r>
      <rPr>
        <b/>
        <i/>
        <sz val="14"/>
        <color rgb="FFC00000"/>
        <rFont val="Aptos"/>
        <family val="2"/>
      </rPr>
      <t>*</t>
    </r>
    <r>
      <rPr>
        <b/>
        <i/>
        <sz val="14"/>
        <color rgb="FFFF0000"/>
        <rFont val="Aptos"/>
        <family val="2"/>
      </rPr>
      <t xml:space="preserve"> </t>
    </r>
    <r>
      <rPr>
        <b/>
        <i/>
        <sz val="14"/>
        <color theme="1" tint="0.14999847407452621"/>
        <rFont val="Aptos"/>
        <family val="2"/>
      </rPr>
      <t xml:space="preserve">Fields marked with an asterisk are required. </t>
    </r>
    <r>
      <rPr>
        <b/>
        <sz val="16"/>
        <color theme="1" tint="0.14999847407452621"/>
        <rFont val="Aptos"/>
        <family val="2"/>
      </rPr>
      <t xml:space="preserve">Each building is eligible for only </t>
    </r>
    <r>
      <rPr>
        <b/>
        <u/>
        <sz val="16"/>
        <color theme="1" tint="0.14999847407452621"/>
        <rFont val="Aptos"/>
        <family val="2"/>
      </rPr>
      <t>ONE grant application</t>
    </r>
    <r>
      <rPr>
        <b/>
        <sz val="16"/>
        <color theme="1" tint="0.14999847407452621"/>
        <rFont val="Aptos"/>
        <family val="2"/>
      </rPr>
      <t xml:space="preserve"> and </t>
    </r>
    <r>
      <rPr>
        <b/>
        <u/>
        <sz val="16"/>
        <color theme="1" tint="0.14999847407452621"/>
        <rFont val="Aptos"/>
        <family val="2"/>
      </rPr>
      <t>ONE associated calculator</t>
    </r>
    <r>
      <rPr>
        <b/>
        <sz val="16"/>
        <color theme="1" tint="0.14999847407452621"/>
        <rFont val="Aptos"/>
        <family val="2"/>
      </rPr>
      <t>.</t>
    </r>
  </si>
  <si>
    <t>PROJECT INFORMATION</t>
  </si>
  <si>
    <t>Enter project-level information in the highlighted cells.</t>
  </si>
  <si>
    <r>
      <t>Grantee/
Organization Name</t>
    </r>
    <r>
      <rPr>
        <b/>
        <sz val="14"/>
        <color rgb="FFC00000"/>
        <rFont val="Aptos"/>
        <family val="2"/>
      </rPr>
      <t>*</t>
    </r>
  </si>
  <si>
    <r>
      <t>Project Name</t>
    </r>
    <r>
      <rPr>
        <b/>
        <sz val="14"/>
        <color rgb="FFC00000"/>
        <rFont val="Aptos"/>
        <family val="2"/>
      </rPr>
      <t>*</t>
    </r>
  </si>
  <si>
    <r>
      <t>Project County</t>
    </r>
    <r>
      <rPr>
        <b/>
        <sz val="14"/>
        <color rgb="FFC00000"/>
        <rFont val="Aptos"/>
        <family val="2"/>
      </rPr>
      <t>*</t>
    </r>
  </si>
  <si>
    <t>Anne Arundel</t>
  </si>
  <si>
    <r>
      <t>Maryland Benchmarking ID (UBID - Unique Building ID )</t>
    </r>
    <r>
      <rPr>
        <b/>
        <sz val="14"/>
        <color rgb="FFC00000"/>
        <rFont val="Aptos"/>
        <family val="2"/>
      </rPr>
      <t>*</t>
    </r>
  </si>
  <si>
    <r>
      <t>Montgomery County Benchmarking ID (MBID)</t>
    </r>
    <r>
      <rPr>
        <b/>
        <sz val="14"/>
        <color rgb="FFC00000"/>
        <rFont val="Aptos"/>
        <family val="2"/>
      </rPr>
      <t>*</t>
    </r>
  </si>
  <si>
    <r>
      <t>Building Type</t>
    </r>
    <r>
      <rPr>
        <b/>
        <sz val="14"/>
        <color rgb="FFC00000"/>
        <rFont val="Aptos"/>
        <family val="2"/>
      </rPr>
      <t>*</t>
    </r>
  </si>
  <si>
    <t>Commercial</t>
  </si>
  <si>
    <r>
      <t>Building 
Square Footage</t>
    </r>
    <r>
      <rPr>
        <b/>
        <sz val="14"/>
        <color rgb="FFC00000"/>
        <rFont val="Aptos"/>
        <family val="2"/>
      </rPr>
      <t>*</t>
    </r>
  </si>
  <si>
    <r>
      <t>Number of ECMs not including Solar</t>
    </r>
    <r>
      <rPr>
        <b/>
        <sz val="14"/>
        <color rgb="FFC00000"/>
        <rFont val="Aptos"/>
        <family val="2"/>
      </rPr>
      <t>*</t>
    </r>
  </si>
  <si>
    <r>
      <t>What type of Solar PV does this project include?</t>
    </r>
    <r>
      <rPr>
        <b/>
        <sz val="14"/>
        <color rgb="FFC00000"/>
        <rFont val="Aptos"/>
        <family val="2"/>
      </rPr>
      <t>*</t>
    </r>
  </si>
  <si>
    <t>Solar Canopy</t>
  </si>
  <si>
    <r>
      <t>Is this building covered by BEPS?</t>
    </r>
    <r>
      <rPr>
        <b/>
        <sz val="14"/>
        <color rgb="FFC00000"/>
        <rFont val="Aptos"/>
        <family val="2"/>
      </rPr>
      <t>*</t>
    </r>
  </si>
  <si>
    <t>Click here to check if your building is covered by State BEPS</t>
  </si>
  <si>
    <t>Click here to check if your building is covered by Montgomery County BEPS</t>
  </si>
  <si>
    <t>Click here to check if your PreK-12 Public School is covered by the ENOUGH Act</t>
  </si>
  <si>
    <t>Click here to check if your PreK-12 Public School is located in an Overburdened Census Tract</t>
  </si>
  <si>
    <r>
      <t>Brief Project Description</t>
    </r>
    <r>
      <rPr>
        <b/>
        <sz val="14"/>
        <color rgb="FFC00000"/>
        <rFont val="Aptos"/>
        <family val="2"/>
      </rPr>
      <t>*</t>
    </r>
    <r>
      <rPr>
        <b/>
        <sz val="14"/>
        <color theme="1" tint="0.14999847407452621"/>
        <rFont val="Aptos"/>
        <family val="2"/>
      </rPr>
      <t xml:space="preserve">
</t>
    </r>
    <r>
      <rPr>
        <i/>
        <sz val="12"/>
        <color theme="1" tint="0.14999847407452621"/>
        <rFont val="Aptos"/>
        <family val="2"/>
      </rPr>
      <t>(250 Character Limit )</t>
    </r>
  </si>
  <si>
    <t>EXISTING CONDITIONS</t>
  </si>
  <si>
    <t>BASELINE ENERGY CONSUMPTION</t>
  </si>
  <si>
    <t>Enter current annual energy consumption for each applicable fuel type in the highlighted cells. Users must enter zero for fuel types that are not relevant to the facility. 
All energy consumption data should reflect the entire building's annual energy use.</t>
  </si>
  <si>
    <t>Electricity Consumption (kWh/year)</t>
  </si>
  <si>
    <t>Natural Gas Consumption (therms/year)</t>
  </si>
  <si>
    <t>Propane Consumption (gallons/year)</t>
  </si>
  <si>
    <t>Fuel Oil #2 Consumption (gallons/year)</t>
  </si>
  <si>
    <t>Coal Consumption (tons/year)</t>
  </si>
  <si>
    <t>UTILITY RATES</t>
  </si>
  <si>
    <t>Default utility rates are automatically populated using current standardized values.</t>
  </si>
  <si>
    <t>Electricity ($/kWh)</t>
  </si>
  <si>
    <t>Natural Gas ($/therm)</t>
  </si>
  <si>
    <t>Propane ($/gallon)</t>
  </si>
  <si>
    <t>Fuel Oil #2 ($/gallon)</t>
  </si>
  <si>
    <t>Coal ($/ton)</t>
  </si>
  <si>
    <t>ELECTRIFICATION AND ENERGY EFFICIENCY</t>
  </si>
  <si>
    <t>PROPOSED MEASURES</t>
  </si>
  <si>
    <t>ECM 1.</t>
  </si>
  <si>
    <t>Lighting — Interior LED</t>
  </si>
  <si>
    <t>ECM 2.</t>
  </si>
  <si>
    <t>Air Sealing/ Insulation</t>
  </si>
  <si>
    <t>ECM 3.</t>
  </si>
  <si>
    <t>Commercial Appliances — Efficiency Upgrade</t>
  </si>
  <si>
    <t>ECM 4.</t>
  </si>
  <si>
    <t>Window and Exterior Door Replacements</t>
  </si>
  <si>
    <t>PROJECTED ENERGY SAVINGS</t>
  </si>
  <si>
    <t xml:space="preserve">Enter the expected annual energy savings for each ECM in the highlighted cells. Only enter data for fuel types relevant to the facility. 
Enter savings as positive values and increases as negative values. If a project is expected to result in an increase in electricity usage, enter the increase as a negative value. </t>
  </si>
  <si>
    <t>Electricity Savings</t>
  </si>
  <si>
    <t xml:space="preserve"> kWh/year</t>
  </si>
  <si>
    <t>Natural Gas Savings</t>
  </si>
  <si>
    <t>therms/year</t>
  </si>
  <si>
    <t>Propane Savings</t>
  </si>
  <si>
    <t>gallons/year</t>
  </si>
  <si>
    <t>Fuel Oil Savings</t>
  </si>
  <si>
    <t>Coal Savings</t>
  </si>
  <si>
    <t>tons/year</t>
  </si>
  <si>
    <t>PROJECTED COSTS</t>
  </si>
  <si>
    <t>Enter project costs for each selected ECM in the corresponding highlighted cells.</t>
  </si>
  <si>
    <t>SOLAR</t>
  </si>
  <si>
    <t>PROPOSED SOLAR PV SYSTEM</t>
  </si>
  <si>
    <t>Complete this section only for projects that include a solar PV installation. 
Enter the proposed system size, ownership, estimated annual electricity production, total project cost, and requested grant amount for each applicable installation type.</t>
  </si>
  <si>
    <t>GROUNDMOUNT OR ROOFTOP INSTALLATION</t>
  </si>
  <si>
    <t>Proposed Solar PV System Size (kW)</t>
  </si>
  <si>
    <t>Type of Ownership</t>
  </si>
  <si>
    <t>Third-Party Ownership</t>
  </si>
  <si>
    <t>Estimated Annual Electricity Production (kWh/year)</t>
  </si>
  <si>
    <t>Solar PV System Total Project Costs</t>
  </si>
  <si>
    <t>Solar PV Requested Grant Amount</t>
  </si>
  <si>
    <t>SOLAR PV COST VALIDATION</t>
  </si>
  <si>
    <t>The calculator automatically determines the requested grant amount per kW and verifies that the requested grant complies with the applicable MEA incentive rate and project cost share limit.</t>
  </si>
  <si>
    <t>Solar PV Requested Grant Amount per kW</t>
  </si>
  <si>
    <t>KEY METRICS</t>
  </si>
  <si>
    <t>This section summarizes the energy use intensity, savings, payback period, and total grant funding calculated on the next tab.</t>
  </si>
  <si>
    <r>
      <t>Current Energy Use Intensity [EUI] (kBTU/ft</t>
    </r>
    <r>
      <rPr>
        <vertAlign val="superscript"/>
        <sz val="18"/>
        <color theme="1" tint="0.14996795556505021"/>
        <rFont val="Aptos"/>
        <family val="2"/>
      </rPr>
      <t>2</t>
    </r>
    <r>
      <rPr>
        <sz val="18"/>
        <color theme="1" tint="0.14999847407452621"/>
        <rFont val="Aptos"/>
        <family val="2"/>
      </rPr>
      <t>)</t>
    </r>
  </si>
  <si>
    <r>
      <t>Projected Energy Use Intensity [EUI] (kBTU/ft</t>
    </r>
    <r>
      <rPr>
        <vertAlign val="superscript"/>
        <sz val="18"/>
        <color theme="1" tint="0.14996795556505021"/>
        <rFont val="Aptos"/>
        <family val="2"/>
      </rPr>
      <t>2</t>
    </r>
    <r>
      <rPr>
        <sz val="18"/>
        <color theme="1" tint="0.14999847407452621"/>
        <rFont val="Aptos"/>
        <family val="2"/>
      </rPr>
      <t>)</t>
    </r>
  </si>
  <si>
    <t>Annual Cost Savings ($/year)</t>
  </si>
  <si>
    <t>Simple Payback Period (years)</t>
  </si>
  <si>
    <t>Total MEA Grant Request</t>
  </si>
  <si>
    <t>PROJECT BUDGET AND TIMELINE</t>
  </si>
  <si>
    <t xml:space="preserve">Fill out the budget and timeline tables to the best of your knowledge and ability. Estimations are acceptable. Add lines in the tables where needed. 
Be sure to account for the total project cost, which includes the requested MEA grant and all other sources and uses of funds. </t>
  </si>
  <si>
    <t>Organization Name</t>
  </si>
  <si>
    <t>Project Description</t>
  </si>
  <si>
    <t>FUNDING SOURCES</t>
  </si>
  <si>
    <t>Enter other sources and amounts of funding for this project, such as utility rebates or grants, which will be stacked along with the MEA grant. 
The grant value calculated indicates the requested amount for which this project may qualify, not the final award amount.</t>
  </si>
  <si>
    <t>Source</t>
  </si>
  <si>
    <t>Amount</t>
  </si>
  <si>
    <t>Percentage of Source Funds</t>
  </si>
  <si>
    <t>MEA Commercial &amp; Community Buildings Grant</t>
  </si>
  <si>
    <t>TOTAL</t>
  </si>
  <si>
    <t>FUNDING USES</t>
  </si>
  <si>
    <t>Line Item</t>
  </si>
  <si>
    <t>Source of Estimate</t>
  </si>
  <si>
    <t>Cost</t>
  </si>
  <si>
    <t>TIMELINE</t>
  </si>
  <si>
    <t>Project Milestone</t>
  </si>
  <si>
    <t>Expected Completion Date</t>
  </si>
  <si>
    <t>Award Notice from MEA</t>
  </si>
  <si>
    <t>Pre-Implementation</t>
  </si>
  <si>
    <t>Design Completion</t>
  </si>
  <si>
    <t>Materials on Site</t>
  </si>
  <si>
    <t>Project Completion</t>
  </si>
  <si>
    <t>Final Report Submitted to MEA</t>
  </si>
  <si>
    <t>This tab is only for viewing calculator outputs. No inputs are to be made here.</t>
  </si>
  <si>
    <t>PROJECTED ENERGY CONSUMPTION</t>
  </si>
  <si>
    <t>Total ECM Projects Cost ($)</t>
  </si>
  <si>
    <t>PROJECTED SAVINGS</t>
  </si>
  <si>
    <t>Electricity (kWh/year)</t>
  </si>
  <si>
    <t>Natural Gas  (therms/year)</t>
  </si>
  <si>
    <t>Propane (gallons/year)</t>
  </si>
  <si>
    <t>Fuel Oil #2  (gallons/year)</t>
  </si>
  <si>
    <t>Coal  (tons/year)</t>
  </si>
  <si>
    <t>FUNDING IMPACT</t>
  </si>
  <si>
    <r>
      <rPr>
        <b/>
        <sz val="14"/>
        <color theme="1" tint="0.14999847407452621"/>
        <rFont val="Aptos"/>
        <family val="2"/>
      </rPr>
      <t>Electrification</t>
    </r>
    <r>
      <rPr>
        <sz val="14"/>
        <color theme="1" tint="0.14999847407452621"/>
        <rFont val="Aptos"/>
        <family val="2"/>
      </rPr>
      <t xml:space="preserve"> 
- Total Project Cost</t>
    </r>
  </si>
  <si>
    <r>
      <rPr>
        <b/>
        <sz val="14"/>
        <color theme="1" tint="0.14999847407452621"/>
        <rFont val="Aptos"/>
        <family val="2"/>
      </rPr>
      <t>Energy Efficiency</t>
    </r>
    <r>
      <rPr>
        <sz val="14"/>
        <color theme="1" tint="0.14999847407452621"/>
        <rFont val="Aptos"/>
        <family val="2"/>
      </rPr>
      <t xml:space="preserve"> 
- Total Project Cost</t>
    </r>
  </si>
  <si>
    <r>
      <rPr>
        <b/>
        <sz val="14"/>
        <color theme="1" tint="0.14999847407452621"/>
        <rFont val="Aptos"/>
        <family val="2"/>
      </rPr>
      <t xml:space="preserve">Solar </t>
    </r>
    <r>
      <rPr>
        <sz val="14"/>
        <color theme="1" tint="0.14999847407452621"/>
        <rFont val="Aptos"/>
        <family val="2"/>
      </rPr>
      <t xml:space="preserve">
- Total Project Cost</t>
    </r>
  </si>
  <si>
    <r>
      <rPr>
        <b/>
        <sz val="14"/>
        <color theme="1" tint="0.14999847407452621"/>
        <rFont val="Aptos"/>
        <family val="2"/>
      </rPr>
      <t>Electrification</t>
    </r>
    <r>
      <rPr>
        <sz val="14"/>
        <color theme="1" tint="0.14999847407452621"/>
        <rFont val="Aptos"/>
        <family val="2"/>
      </rPr>
      <t xml:space="preserve"> - $/Lifetime MTCO2e Reduced</t>
    </r>
  </si>
  <si>
    <r>
      <rPr>
        <b/>
        <sz val="14"/>
        <color theme="1" tint="0.14999847407452621"/>
        <rFont val="Aptos"/>
        <family val="2"/>
      </rPr>
      <t>Energy Efficiency</t>
    </r>
    <r>
      <rPr>
        <sz val="14"/>
        <color theme="1" tint="0.14999847407452621"/>
        <rFont val="Aptos"/>
        <family val="2"/>
      </rPr>
      <t xml:space="preserve"> - $/Lifetime MTCO2e Reduced</t>
    </r>
  </si>
  <si>
    <r>
      <rPr>
        <b/>
        <sz val="14"/>
        <color theme="1" tint="0.14999847407452621"/>
        <rFont val="Aptos"/>
        <family val="2"/>
      </rPr>
      <t>Solar</t>
    </r>
    <r>
      <rPr>
        <sz val="14"/>
        <color theme="1" tint="0.14999847407452621"/>
        <rFont val="Aptos"/>
        <family val="2"/>
      </rPr>
      <t xml:space="preserve"> - Applicable Incentive Rate(s)</t>
    </r>
  </si>
  <si>
    <r>
      <t xml:space="preserve">Calculated Incentives for </t>
    </r>
    <r>
      <rPr>
        <b/>
        <sz val="14"/>
        <color theme="1" tint="0.14999847407452621"/>
        <rFont val="Aptos"/>
        <family val="2"/>
      </rPr>
      <t>Electrification</t>
    </r>
    <r>
      <rPr>
        <vertAlign val="superscript"/>
        <sz val="14"/>
        <color theme="1" tint="0.14996795556505021"/>
        <rFont val="Aptos"/>
        <family val="2"/>
      </rPr>
      <t>1</t>
    </r>
  </si>
  <si>
    <r>
      <t xml:space="preserve">Calculated Incentives for </t>
    </r>
    <r>
      <rPr>
        <b/>
        <sz val="14"/>
        <color theme="1" tint="0.14999847407452621"/>
        <rFont val="Aptos"/>
        <family val="2"/>
      </rPr>
      <t>Energy Efficiency</t>
    </r>
    <r>
      <rPr>
        <vertAlign val="superscript"/>
        <sz val="14"/>
        <color theme="1" tint="0.14996795556505021"/>
        <rFont val="Aptos"/>
        <family val="2"/>
      </rPr>
      <t>2</t>
    </r>
  </si>
  <si>
    <r>
      <t xml:space="preserve">Calculated Incentives for </t>
    </r>
    <r>
      <rPr>
        <b/>
        <sz val="14"/>
        <color theme="1" tint="0.14999847407452621"/>
        <rFont val="Aptos"/>
        <family val="2"/>
      </rPr>
      <t>Solar</t>
    </r>
    <r>
      <rPr>
        <vertAlign val="superscript"/>
        <sz val="14"/>
        <color theme="1" tint="0.14996795556505021"/>
        <rFont val="Aptos"/>
        <family val="2"/>
      </rPr>
      <t>3</t>
    </r>
  </si>
  <si>
    <t>SOLAR CANOPY INSTALLATION</t>
  </si>
  <si>
    <t>CARBON IMPACT</t>
  </si>
  <si>
    <r>
      <t xml:space="preserve">Annual GHG Emissions Reduction from </t>
    </r>
    <r>
      <rPr>
        <b/>
        <sz val="14"/>
        <color theme="1" tint="0.14999847407452621"/>
        <rFont val="Aptos"/>
        <family val="2"/>
      </rPr>
      <t>Electrification</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</si>
  <si>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Annual GHG Emissions Reduction from </t>
    </r>
    <r>
      <rPr>
        <b/>
        <sz val="14"/>
        <color theme="1" tint="0.14999847407452621"/>
        <rFont val="Aptos"/>
        <family val="2"/>
      </rPr>
      <t>Energy Efficiency</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</si>
  <si>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Annual GHG Emissions Reduction from </t>
    </r>
    <r>
      <rPr>
        <b/>
        <sz val="14"/>
        <color theme="1" tint="0.14999847407452621"/>
        <rFont val="Aptos"/>
        <family val="2"/>
      </rPr>
      <t>Solar</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</si>
  <si>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Total Annual GHG Emissions Reduction (MTCO</t>
    </r>
    <r>
      <rPr>
        <vertAlign val="subscript"/>
        <sz val="18"/>
        <color theme="1" tint="0.14999847407452621"/>
        <rFont val="Aptos"/>
        <family val="2"/>
      </rPr>
      <t>2</t>
    </r>
    <r>
      <rPr>
        <sz val="18"/>
        <color theme="1" tint="0.14999847407452621"/>
        <rFont val="Aptos"/>
        <family val="2"/>
      </rPr>
      <t>e)</t>
    </r>
  </si>
  <si>
    <r>
      <t xml:space="preserve">Lifetime GHG Emissions Reduction from </t>
    </r>
    <r>
      <rPr>
        <b/>
        <sz val="14"/>
        <color theme="1" tint="0.14999847407452621"/>
        <rFont val="Aptos"/>
        <family val="2"/>
      </rPr>
      <t>Electrification</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</si>
  <si>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 xml:space="preserve">Energy Efficiency </t>
    </r>
    <r>
      <rPr>
        <sz val="14"/>
        <color theme="1" tint="0.14999847407452621"/>
        <rFont val="Aptos"/>
        <family val="2"/>
      </rPr>
      <t>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</si>
  <si>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Solar</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</si>
  <si>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Total Lifetime GHG Emissions Reduction (MTCO</t>
    </r>
    <r>
      <rPr>
        <vertAlign val="subscript"/>
        <sz val="18"/>
        <color theme="1" tint="0.14999847407452621"/>
        <rFont val="Aptos"/>
        <family val="2"/>
      </rPr>
      <t>2</t>
    </r>
    <r>
      <rPr>
        <sz val="18"/>
        <color theme="1" tint="0.14999847407452621"/>
        <rFont val="Aptos"/>
        <family val="2"/>
      </rPr>
      <t>e)</t>
    </r>
  </si>
  <si>
    <t>EMBEDDED VALUES</t>
  </si>
  <si>
    <t>EMISSIONS FACTORS</t>
  </si>
  <si>
    <t>DATA DATED</t>
  </si>
  <si>
    <t>SOURCE</t>
  </si>
  <si>
    <t>LINK</t>
  </si>
  <si>
    <t>Fuel</t>
  </si>
  <si>
    <t>Unit</t>
  </si>
  <si>
    <t>Emissions Factor 
(MT CO2e/unit)</t>
  </si>
  <si>
    <t>MEA Data</t>
  </si>
  <si>
    <t>Electricity</t>
  </si>
  <si>
    <t>kWh</t>
  </si>
  <si>
    <t>Natural Gas</t>
  </si>
  <si>
    <t>therm</t>
  </si>
  <si>
    <t>Propane</t>
  </si>
  <si>
    <t>gallon</t>
  </si>
  <si>
    <t>Fuel Oil #2 (heating oil)</t>
  </si>
  <si>
    <t>Coal</t>
  </si>
  <si>
    <t>ton</t>
  </si>
  <si>
    <t>DEFAULT ENERGY PRICES</t>
  </si>
  <si>
    <t>Cost ($/unit)</t>
  </si>
  <si>
    <t>Commercial cost</t>
  </si>
  <si>
    <t>https://www.eia.gov/state/data.php?sid=MD</t>
  </si>
  <si>
    <t>City Gate cost</t>
  </si>
  <si>
    <t>https://www.eia.gov/dnav/pet/hist/LeafHandler.ashx?n=PET&amp;s=W_EPD2F_PWR_SMD_DPG&amp;f=W</t>
  </si>
  <si>
    <t>https://www.eia.gov/states/MD/data/dashboard/coal</t>
  </si>
  <si>
    <t>ELIGIBLE MEASURES</t>
  </si>
  <si>
    <t>Energy Conservation Measure (ECM)</t>
  </si>
  <si>
    <t>Expected Useful Life (Years)</t>
  </si>
  <si>
    <t>Project Category</t>
  </si>
  <si>
    <t>Program Measure Category</t>
  </si>
  <si>
    <t>Building Eligibility</t>
  </si>
  <si>
    <t>[Select an ECM from the dropdown list]</t>
  </si>
  <si>
    <t>MEA Assumptions</t>
  </si>
  <si>
    <t>HVAC &amp; Heat Pump — Fuel Switching</t>
  </si>
  <si>
    <t>Electrification</t>
  </si>
  <si>
    <t>Core</t>
  </si>
  <si>
    <t>All</t>
  </si>
  <si>
    <t>HVAC &amp; Heat Pump — Efficiency Upgrade</t>
  </si>
  <si>
    <t>Energy Efficiency</t>
  </si>
  <si>
    <t>Commercial Appliances — Fuel Switching</t>
  </si>
  <si>
    <t>Refrigeration Equipment</t>
  </si>
  <si>
    <t>Tandem</t>
  </si>
  <si>
    <t>Local Government; PreK-12 Public School; PreK-12 Public School - $50 Bonus Eligible</t>
  </si>
  <si>
    <t>Lighting — Exterior and Street</t>
  </si>
  <si>
    <t>Mechanical Insulation</t>
  </si>
  <si>
    <t>Standalone</t>
  </si>
  <si>
    <t>Electric Panel and Wiring Upgrades</t>
  </si>
  <si>
    <t>Building Automation Systems/Controls</t>
  </si>
  <si>
    <t>Solar</t>
  </si>
  <si>
    <t>Non-Profit; Local Government; PreK-12 Public School; PreK-12 Public School - $50 Bonus Eligible</t>
  </si>
  <si>
    <t>ENERGY UNIT CONVERSION FACTORS</t>
  </si>
  <si>
    <t>kBtu/Unit</t>
  </si>
  <si>
    <t>for FY27 Commercial &amp; Community Buildings</t>
  </si>
  <si>
    <t>Commercial Buildings</t>
  </si>
  <si>
    <t>BEPS Bonus</t>
  </si>
  <si>
    <t>Lifetime MTCO2e Reduced (200 - 2,499)</t>
  </si>
  <si>
    <t>Lifetime MTCO2e Reduced (2,500 - 4,999)</t>
  </si>
  <si>
    <t>Lifetime MTCO2e Reduced (5,000+)</t>
  </si>
  <si>
    <t>Minimum Grant Amount</t>
  </si>
  <si>
    <t>Maximum Grant Amount</t>
  </si>
  <si>
    <t>Total Project Cost% Cap</t>
  </si>
  <si>
    <t>Non-Profits</t>
  </si>
  <si>
    <t>Total Project Cost % Cap</t>
  </si>
  <si>
    <t>Local Governments</t>
  </si>
  <si>
    <t>Local Education Agencies (LEAs) PreK-12 Schools</t>
  </si>
  <si>
    <t>ENOUGH Act + Overburdened Bonus</t>
  </si>
  <si>
    <t>Non-Profits Only (Solar)</t>
  </si>
  <si>
    <t>Solar I (Direct Ownership)</t>
  </si>
  <si>
    <t>Solar II (Third-Party Ownership)</t>
  </si>
  <si>
    <t>Groundmount &amp; Rooftop Installations -- per kW</t>
  </si>
  <si>
    <t>Solar Canopy Installations -- per kW</t>
  </si>
  <si>
    <t>Local Governments (Solar)</t>
  </si>
  <si>
    <t>Local Education Agencies (LEAs) PreK-12 Schools (Solar)</t>
  </si>
  <si>
    <t>Mechanical Insulation (Track 4)</t>
  </si>
  <si>
    <t>Funding</t>
  </si>
  <si>
    <t>Minimum Project Cost</t>
  </si>
  <si>
    <t>Community Resilience (Track 5)</t>
  </si>
  <si>
    <t>Guidance</t>
  </si>
  <si>
    <t>Microgrids</t>
  </si>
  <si>
    <t>Resilience Hubs</t>
  </si>
  <si>
    <t>ID</t>
  </si>
  <si>
    <t>Date Logged</t>
  </si>
  <si>
    <t>Type</t>
  </si>
  <si>
    <t>Version</t>
  </si>
  <si>
    <t>Status</t>
  </si>
  <si>
    <t>011</t>
  </si>
  <si>
    <t>Enhancement</t>
  </si>
  <si>
    <t>v1.002</t>
  </si>
  <si>
    <t>Completed</t>
  </si>
  <si>
    <t>010</t>
  </si>
  <si>
    <t>009</t>
  </si>
  <si>
    <t>008</t>
  </si>
  <si>
    <t>007</t>
  </si>
  <si>
    <t>Updated Mechanical Insulation logic to apply Track 4 requirements to standalone projects and General Track requirements when combined with other eligible measures</t>
  </si>
  <si>
    <t>006</t>
  </si>
  <si>
    <t>005</t>
  </si>
  <si>
    <t>Instruction Update</t>
  </si>
  <si>
    <t>004</t>
  </si>
  <si>
    <t>Added version numbers to headers in the following tabs: Instructions, User Inputs, Budget &amp; Timeline and Calculated Metrics</t>
  </si>
  <si>
    <t>003</t>
  </si>
  <si>
    <t>New Feature</t>
  </si>
  <si>
    <t>Added capability to select counties from a dropdown</t>
  </si>
  <si>
    <t>v1.001</t>
  </si>
  <si>
    <t>002</t>
  </si>
  <si>
    <t>Bug Fix</t>
  </si>
  <si>
    <t>ID 001_Bug Report addressed</t>
  </si>
  <si>
    <t>Fixed</t>
  </si>
  <si>
    <t>001</t>
  </si>
  <si>
    <t>Bug Report</t>
  </si>
  <si>
    <t>The building is a PreK-12 Public School eligible for the $50 ENOUGH ACT and/or Overburdened $50 bonus, but the calculator is not reflecting the $50 bonus in the "Total MEA Grant Request" field on the User Inputs and Calculated Metrics tabs</t>
  </si>
  <si>
    <t>v1.000</t>
  </si>
  <si>
    <t>Noted</t>
  </si>
  <si>
    <t>Solar PV Project</t>
  </si>
  <si>
    <t>None</t>
  </si>
  <si>
    <t>Ground Mount/Rooftop</t>
  </si>
  <si>
    <t>Both</t>
  </si>
  <si>
    <t>Number of ECMs not including Solar</t>
  </si>
  <si>
    <t>Building Type</t>
  </si>
  <si>
    <t>Non-Profit</t>
  </si>
  <si>
    <t>Local Government</t>
  </si>
  <si>
    <t>PreK-12 Public School</t>
  </si>
  <si>
    <t>PreK-12 Public School - $50 Bonus Eligible</t>
  </si>
  <si>
    <t>Minimum Grant Amount for Mechanical Insulation Only</t>
  </si>
  <si>
    <t>Direct Ownership</t>
  </si>
  <si>
    <t>Solar Message Display</t>
  </si>
  <si>
    <t>Label</t>
  </si>
  <si>
    <t>Value</t>
  </si>
  <si>
    <t>Solar Section Label</t>
  </si>
  <si>
    <t>Solar Section Row</t>
  </si>
  <si>
    <t>Ground Ownership Column</t>
  </si>
  <si>
    <t>Canopy Ownership Column</t>
  </si>
  <si>
    <t>Ground Rate Row</t>
  </si>
  <si>
    <t>Canopy Rate Row</t>
  </si>
  <si>
    <t>Solar Minimum Row</t>
  </si>
  <si>
    <t>Solar Maximum Row</t>
  </si>
  <si>
    <t>Ground Rate</t>
  </si>
  <si>
    <t>Canopy Rate</t>
  </si>
  <si>
    <t>Ground Minimum Grant</t>
  </si>
  <si>
    <t>Ground Maximum Grant</t>
  </si>
  <si>
    <t>Canopy Minimum Grant</t>
  </si>
  <si>
    <t>Canopy Maximum Grant</t>
  </si>
  <si>
    <t>Ground Raw Incentive</t>
  </si>
  <si>
    <t>Ground Eligible Incentive</t>
  </si>
  <si>
    <t>Canopy Raw Incentive</t>
  </si>
  <si>
    <t>Canopy Eligible Incentive</t>
  </si>
  <si>
    <t>Project County</t>
  </si>
  <si>
    <t>Allegany</t>
  </si>
  <si>
    <t>Baltimore</t>
  </si>
  <si>
    <t>Baltimore City</t>
  </si>
  <si>
    <t>Calvert</t>
  </si>
  <si>
    <t>Caroline</t>
  </si>
  <si>
    <t>Carroll</t>
  </si>
  <si>
    <t>Cecil</t>
  </si>
  <si>
    <t>Charles</t>
  </si>
  <si>
    <t>Dorchester</t>
  </si>
  <si>
    <t>Frederick</t>
  </si>
  <si>
    <t>Garrett</t>
  </si>
  <si>
    <t>Harford</t>
  </si>
  <si>
    <t>Howard</t>
  </si>
  <si>
    <t>Kent</t>
  </si>
  <si>
    <t>Montgomery</t>
  </si>
  <si>
    <t>Prince George's</t>
  </si>
  <si>
    <t>Queen Anne's</t>
  </si>
  <si>
    <t>St. Mary's</t>
  </si>
  <si>
    <t>Somerset</t>
  </si>
  <si>
    <t>Talbot</t>
  </si>
  <si>
    <t>Washington</t>
  </si>
  <si>
    <t>Wicomico</t>
  </si>
  <si>
    <t>Worcester</t>
  </si>
  <si>
    <t>Updates Type</t>
  </si>
  <si>
    <t>Feature</t>
  </si>
  <si>
    <t>Tandem Measure Check</t>
  </si>
  <si>
    <t>Tandem Measure Selected</t>
  </si>
  <si>
    <t>Core Measure Selected</t>
  </si>
  <si>
    <t>Invalid Tandem Selection</t>
  </si>
  <si>
    <t>Building Eligibility Check</t>
  </si>
  <si>
    <t>Restricted ECM Selected</t>
  </si>
  <si>
    <t>Eligible Building Type</t>
  </si>
  <si>
    <t>Invalid Building Eligibility</t>
  </si>
  <si>
    <t>Formatting Notes</t>
  </si>
  <si>
    <t>Font</t>
  </si>
  <si>
    <t>Aptos</t>
  </si>
  <si>
    <t>Column headings in sections</t>
  </si>
  <si>
    <t>size 16, Bold</t>
  </si>
  <si>
    <t>field names</t>
  </si>
  <si>
    <t>size 14</t>
  </si>
  <si>
    <t>User inputs</t>
  </si>
  <si>
    <t>size 18, navy blue on white (yellow background when empty)</t>
  </si>
  <si>
    <t>Auto-calculated fields</t>
  </si>
  <si>
    <t>size 18, dark blue on gray</t>
  </si>
  <si>
    <t>Text in cells</t>
  </si>
  <si>
    <t>Left indent, 1</t>
  </si>
  <si>
    <t>Border Colors</t>
  </si>
  <si>
    <t>#A6A6A6 for bounding boxes -- external borders (only)</t>
  </si>
  <si>
    <t>#D9D9D9 for internal borders</t>
  </si>
  <si>
    <t xml:space="preserve">
Select the applicable electrification and energy efficiency measure(s). Eligible measures are listed on the "Embedded Values" tab, designated as Core, Tandem, or Standalone. A Core measure must be included in a project for a Tandem measure to be eligible. Standalone measures are eligible on their own. Only Local Government and PreK-12 Public School projects are eligible to apply for the Lighting measures. Commercial Buildings are not eligible for the Solar incentive. </t>
  </si>
  <si>
    <t>Track 5 projects will not use this Energy Impact and Grant Calculator</t>
  </si>
  <si>
    <t>013</t>
  </si>
  <si>
    <t>012</t>
  </si>
  <si>
    <t>Added Electric Panel and Wiring Upgrades as an ECM</t>
  </si>
  <si>
    <t>Updated baseline energy consumption instructions to clarify that users must enter zero for fuel types that are not relevant to the facility</t>
  </si>
  <si>
    <t>Added eligibility for the Lighting ECM based on building type</t>
  </si>
  <si>
    <t>Added Tandem and Core measure eligibility rules. The calculator now displays warnings when Tandem measures are selected without a supporting Core measure, while preserving the Mechanical Insulation-only exception</t>
  </si>
  <si>
    <t>Included Solar as a qualifying Core measure to support Tandem measures</t>
  </si>
  <si>
    <t>Updated the logic for grant amounts in Calculated Metrics so that the minimum grant and MTCO₂e requirements are applied after all eligible measures are combined into one complete project scope</t>
  </si>
  <si>
    <t>014</t>
  </si>
  <si>
    <t>015</t>
  </si>
  <si>
    <t>MEA Incentives</t>
  </si>
  <si>
    <t>Updated the Commercial Buildings maximum grant amount from $2,000,000 to $2,500,000 and the Local Government maximum grant amount from $2,000,000 to $3,000,000</t>
  </si>
  <si>
    <r>
      <t xml:space="preserve">Updates Log
</t>
    </r>
    <r>
      <rPr>
        <sz val="16"/>
        <color theme="1" tint="0.14999847407452621"/>
        <rFont val="Aptos Light"/>
        <family val="2"/>
      </rPr>
      <t xml:space="preserve">To report bugs or suggest features, write to MEA at </t>
    </r>
    <r>
      <rPr>
        <u/>
        <sz val="16"/>
        <color rgb="FF1B5559"/>
        <rFont val="Aptos Light"/>
        <family val="2"/>
      </rPr>
      <t>CommercialCommunity.MEA@maryland.gov</t>
    </r>
  </si>
  <si>
    <t>Updated the Non-Profit Buildings maximum grant amount from $2,000,000 to $2,500,000</t>
  </si>
  <si>
    <t>v1.003</t>
  </si>
  <si>
    <r>
      <t xml:space="preserve">This calculator is for FY27 Commercial &amp; Community Buildings Grant Program applications. This calculator can be used to quantify the energy savings, cost savings, grant amounts, GHG emissions, and GHG reduction investment for proposed projects. Each building is eligible for only </t>
    </r>
    <r>
      <rPr>
        <i/>
        <u/>
        <sz val="16"/>
        <color theme="1" tint="0.249977111117893"/>
        <rFont val="Aptos"/>
        <family val="2"/>
      </rPr>
      <t>ONE grant application</t>
    </r>
    <r>
      <rPr>
        <i/>
        <sz val="16"/>
        <color theme="1" tint="0.249977111117893"/>
        <rFont val="Aptos"/>
        <family val="2"/>
      </rPr>
      <t xml:space="preserve"> and </t>
    </r>
    <r>
      <rPr>
        <i/>
        <u/>
        <sz val="16"/>
        <color theme="1" tint="0.249977111117893"/>
        <rFont val="Aptos"/>
        <family val="2"/>
      </rPr>
      <t>ONE associated calculator</t>
    </r>
    <r>
      <rPr>
        <i/>
        <sz val="16"/>
        <color theme="1" tint="0.249977111117893"/>
        <rFont val="Aptos"/>
        <family val="2"/>
      </rPr>
      <t xml:space="preserve">. Applicants may submit a separate application and calculator for each additional building.
This calculator is designed for use in Microsoft Excel. The calculator has three tabs for users: 'User Inputs' , 'Budget &amp; Timeline', and 'Calculated Metrics'. Guidance on their use is provided below. Two other tabs are for reference only.
Questions? Write to MEA at </t>
    </r>
    <r>
      <rPr>
        <i/>
        <u/>
        <sz val="16"/>
        <color rgb="FF1B5559"/>
        <rFont val="Aptos"/>
        <family val="2"/>
      </rPr>
      <t>CommercialCommunity.MEA@maryland.gov</t>
    </r>
  </si>
  <si>
    <t>Select the applicable electrification and energy efficiency measure(s) below. Solar photovoltaic (PV) measures are entered separately in the Solar Measures section.
If you need to include more than four ECMs, you can request a version of the calculator that contains space for additional ECMs</t>
  </si>
  <si>
    <t>Program Update</t>
  </si>
  <si>
    <t>Added a contact email address to the 'Instructions' and 'Updates Log' tabs for user questions, suggestions, and support</t>
  </si>
  <si>
    <t>Added a Home navigation icon to applicant-facing worksheets that links directly back to the User Inputs tab for improved workbook navigation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</si>
</sst>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
  </numFmts>
  <fonts count="72" x14ac:knownFonts="1">
    <font>
      <sz val="10"/>
      <color rgb="FF000000"/>
      <name val="Arial"/>
      <scheme val="minor"/>
    </font>
    <font>
      <sz val="11"/>
      <color theme="1"/>
      <name val="Arial"/>
      <family val="2"/>
      <scheme val="minor"/>
    </font>
    <font>
      <sz val="10"/>
      <color rgb="FF000000"/>
      <name val="Arial"/>
      <family val="2"/>
      <scheme val="minor"/>
    </font>
    <font>
      <u/>
      <sz val="10"/>
      <color theme="10"/>
      <name val="Arial"/>
      <family val="2"/>
      <scheme val="minor"/>
    </font>
    <font>
      <sz val="10"/>
      <color rgb="FF000000"/>
      <name val="Arial"/>
      <family val="2"/>
      <scheme val="minor"/>
    </font>
    <font>
      <u/>
      <sz val="11"/>
      <color theme="10"/>
      <name val="Arial"/>
      <family val="2"/>
      <scheme val="minor"/>
    </font>
    <font>
      <sz val="8"/>
      <name val="Arial"/>
      <family val="2"/>
      <scheme val="minor"/>
    </font>
    <font>
      <sz val="10"/>
      <color rgb="FF000000"/>
      <name val="Aptos"/>
      <family val="2"/>
    </font>
    <font>
      <b/>
      <sz val="14"/>
      <color rgb="FF000000"/>
      <name val="Aptos"/>
      <family val="2"/>
    </font>
    <font>
      <b/>
      <sz val="18"/>
      <color rgb="FF000000"/>
      <name val="Aptos"/>
      <family val="2"/>
    </font>
    <font>
      <sz val="14"/>
      <color rgb="FF000000"/>
      <name val="Aptos"/>
      <family val="2"/>
    </font>
    <font>
      <sz val="14"/>
      <name val="Aptos"/>
      <family val="2"/>
    </font>
    <font>
      <sz val="60"/>
      <color rgb="FF000000"/>
      <name val="Aptos"/>
      <family val="2"/>
    </font>
    <font>
      <sz val="18"/>
      <color rgb="FF0070C0"/>
      <name val="Aptos"/>
      <family val="2"/>
    </font>
    <font>
      <sz val="18"/>
      <color rgb="FF000000"/>
      <name val="Aptos"/>
      <family val="2"/>
    </font>
    <font>
      <sz val="18"/>
      <name val="Aptos"/>
      <family val="2"/>
    </font>
    <font>
      <b/>
      <sz val="20"/>
      <color rgb="FF000000"/>
      <name val="Aptos"/>
      <family val="2"/>
    </font>
    <font>
      <b/>
      <i/>
      <sz val="16"/>
      <color rgb="FF000000"/>
      <name val="Aptos"/>
      <family val="2"/>
    </font>
    <font>
      <b/>
      <sz val="26"/>
      <color theme="1" tint="0.14999847407452621"/>
      <name val="Aptos"/>
      <family val="2"/>
    </font>
    <font>
      <sz val="20"/>
      <color theme="1" tint="0.14999847407452621"/>
      <name val="Aptos"/>
      <family val="2"/>
    </font>
    <font>
      <b/>
      <sz val="18"/>
      <color theme="1" tint="0.14999847407452621"/>
      <name val="Aptos"/>
      <family val="2"/>
    </font>
    <font>
      <i/>
      <sz val="14"/>
      <color theme="1" tint="0.14999847407452621"/>
      <name val="Aptos"/>
      <family val="2"/>
    </font>
    <font>
      <b/>
      <i/>
      <sz val="16"/>
      <color theme="1" tint="0.14999847407452621"/>
      <name val="Aptos"/>
      <family val="2"/>
    </font>
    <font>
      <sz val="18"/>
      <color rgb="FFC00000"/>
      <name val="Aptos"/>
      <family val="2"/>
    </font>
    <font>
      <sz val="14"/>
      <color theme="1" tint="0.14999847407452621"/>
      <name val="Aptos"/>
      <family val="2"/>
    </font>
    <font>
      <sz val="18"/>
      <color theme="1" tint="0.14999847407452621"/>
      <name val="Aptos"/>
      <family val="2"/>
    </font>
    <font>
      <vertAlign val="subscript"/>
      <sz val="14"/>
      <color theme="1" tint="0.14999847407452621"/>
      <name val="Aptos"/>
      <family val="2"/>
    </font>
    <font>
      <vertAlign val="subscript"/>
      <sz val="18"/>
      <color theme="1" tint="0.14999847407452621"/>
      <name val="Aptos"/>
      <family val="2"/>
    </font>
    <font>
      <sz val="18"/>
      <color rgb="FF00B0F0"/>
      <name val="Aptos"/>
      <family val="2"/>
    </font>
    <font>
      <sz val="18"/>
      <color rgb="FF004064"/>
      <name val="Aptos"/>
      <family val="2"/>
    </font>
    <font>
      <sz val="10"/>
      <color rgb="FF2D8F49"/>
      <name val="Aptos"/>
      <family val="2"/>
    </font>
    <font>
      <sz val="18"/>
      <color rgb="FFF0F9FA"/>
      <name val="Aptos"/>
      <family val="2"/>
    </font>
    <font>
      <sz val="10"/>
      <color theme="9" tint="0.39997558519241921"/>
      <name val="Aptos"/>
      <family val="2"/>
    </font>
    <font>
      <i/>
      <sz val="16"/>
      <color theme="1" tint="0.249977111117893"/>
      <name val="Aptos"/>
      <family val="2"/>
    </font>
    <font>
      <sz val="16"/>
      <color theme="1" tint="0.14999847407452621"/>
      <name val="Aptos"/>
      <family val="2"/>
    </font>
    <font>
      <b/>
      <sz val="16"/>
      <color theme="1" tint="0.14999847407452621"/>
      <name val="Aptos"/>
      <family val="2"/>
    </font>
    <font>
      <sz val="18"/>
      <color rgb="FF000000"/>
      <name val="Arial"/>
      <family val="2"/>
      <scheme val="minor"/>
    </font>
    <font>
      <b/>
      <sz val="20"/>
      <color theme="1" tint="0.14999847407452621"/>
      <name val="Aptos"/>
      <family val="2"/>
    </font>
    <font>
      <sz val="18"/>
      <color theme="0"/>
      <name val="Aptos"/>
      <family val="2"/>
    </font>
    <font>
      <b/>
      <sz val="10"/>
      <color rgb="FF000000"/>
      <name val="Aptos"/>
      <family val="2"/>
    </font>
    <font>
      <sz val="11"/>
      <color indexed="81"/>
      <name val="Tahoma"/>
      <family val="2"/>
    </font>
    <font>
      <b/>
      <sz val="14"/>
      <color theme="1" tint="0.14999847407452621"/>
      <name val="Aptos"/>
      <family val="2"/>
    </font>
    <font>
      <b/>
      <i/>
      <sz val="14"/>
      <color theme="1" tint="0.14999847407452621"/>
      <name val="Aptos"/>
      <family val="2"/>
    </font>
    <font>
      <b/>
      <i/>
      <sz val="14"/>
      <color rgb="FFFF0000"/>
      <name val="Aptos"/>
      <family val="2"/>
    </font>
    <font>
      <b/>
      <sz val="16"/>
      <color theme="1" tint="0.249977111117893"/>
      <name val="Aptos"/>
      <family val="2"/>
    </font>
    <font>
      <sz val="12"/>
      <color indexed="81"/>
      <name val="Tahoma"/>
      <family val="2"/>
    </font>
    <font>
      <sz val="14"/>
      <color rgb="FF004064"/>
      <name val="Aptos"/>
      <family val="2"/>
    </font>
    <font>
      <sz val="10"/>
      <color rgb="FFFF0000"/>
      <name val="Aptos"/>
      <family val="2"/>
    </font>
    <font>
      <vertAlign val="superscript"/>
      <sz val="18"/>
      <color theme="1" tint="0.14996795556505021"/>
      <name val="Aptos"/>
      <family val="2"/>
    </font>
    <font>
      <sz val="18"/>
      <color rgb="FF004070"/>
      <name val="Aptos"/>
      <family val="2"/>
    </font>
    <font>
      <b/>
      <sz val="18"/>
      <color rgb="FF004064"/>
      <name val="Aptos"/>
      <family val="2"/>
    </font>
    <font>
      <b/>
      <sz val="18"/>
      <color rgb="FF004070"/>
      <name val="Aptos"/>
      <family val="2"/>
    </font>
    <font>
      <u/>
      <sz val="14"/>
      <color rgb="FF004064"/>
      <name val="Aptos"/>
      <family val="2"/>
    </font>
    <font>
      <b/>
      <sz val="14"/>
      <color rgb="FFC00000"/>
      <name val="Aptos"/>
      <family val="2"/>
    </font>
    <font>
      <sz val="14"/>
      <color rgb="FF000000"/>
      <name val="Arial"/>
      <family val="2"/>
      <scheme val="minor"/>
    </font>
    <font>
      <i/>
      <sz val="14"/>
      <color rgb="FF000000"/>
      <name val="Aptos"/>
      <family val="2"/>
    </font>
    <font>
      <b/>
      <i/>
      <sz val="14"/>
      <color rgb="FFC00000"/>
      <name val="Aptos"/>
      <family val="2"/>
    </font>
    <font>
      <sz val="14"/>
      <color theme="0"/>
      <name val="Aptos"/>
      <family val="2"/>
    </font>
    <font>
      <sz val="10"/>
      <color theme="1" tint="0.14999847407452621"/>
      <name val="Aptos"/>
      <family val="2"/>
    </font>
    <font>
      <b/>
      <sz val="22"/>
      <color rgb="FF1B5559"/>
      <name val="Aptos"/>
      <family val="2"/>
    </font>
    <font>
      <i/>
      <sz val="14"/>
      <color theme="1" tint="0.249977111117893"/>
      <name val="Aptos"/>
      <family val="2"/>
    </font>
    <font>
      <vertAlign val="superscript"/>
      <sz val="14"/>
      <color theme="1" tint="0.14996795556505021"/>
      <name val="Aptos"/>
      <family val="2"/>
    </font>
    <font>
      <i/>
      <u/>
      <sz val="16"/>
      <color theme="1" tint="0.249977111117893"/>
      <name val="Aptos"/>
      <family val="2"/>
    </font>
    <font>
      <b/>
      <u/>
      <sz val="16"/>
      <color theme="1" tint="0.14999847407452621"/>
      <name val="Aptos"/>
      <family val="2"/>
    </font>
    <font>
      <u/>
      <sz val="16"/>
      <color theme="1" tint="0.14999847407452621"/>
      <name val="Aptos"/>
      <family val="2"/>
    </font>
    <font>
      <i/>
      <u/>
      <sz val="14"/>
      <color rgb="FF00A7FF"/>
      <name val="Aptos"/>
      <family val="2"/>
    </font>
    <font>
      <b/>
      <i/>
      <sz val="10"/>
      <color rgb="FF000000"/>
      <name val="Aptos"/>
      <family val="2"/>
    </font>
    <font>
      <i/>
      <sz val="12"/>
      <color theme="1" tint="0.14999847407452621"/>
      <name val="Aptos"/>
      <family val="2"/>
    </font>
    <font>
      <sz val="8"/>
      <name val="Arial"/>
      <family val="2"/>
      <scheme val="minor"/>
    </font>
    <font>
      <sz val="16"/>
      <color theme="1" tint="0.14999847407452621"/>
      <name val="Aptos Light"/>
      <family val="2"/>
    </font>
    <font>
      <u/>
      <sz val="16"/>
      <color rgb="FF1B5559"/>
      <name val="Aptos Light"/>
      <family val="2"/>
    </font>
    <font>
      <i/>
      <u/>
      <sz val="16"/>
      <color rgb="FF1B5559"/>
      <name val="Aptos"/>
      <family val="2"/>
    </font>
  </fonts>
  <fills count="18">
    <fill>
      <patternFill patternType="none"/>
    </fill>
    <fill>
      <patternFill patternType="gray125"/>
    </fill>
    <fill>
      <patternFill patternType="solid">
        <fgColor theme="0" tint="-0.14999847407452621"/>
        <bgColor indexed="64"/>
      </patternFill>
    </fill>
    <fill>
      <patternFill patternType="solid">
        <fgColor theme="2" tint="-4.9989318521683403E-2"/>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FF"/>
        <bgColor indexed="64"/>
      </patternFill>
    </fill>
    <fill>
      <patternFill patternType="solid">
        <fgColor theme="2" tint="-0.14999847407452621"/>
        <bgColor indexed="64"/>
      </patternFill>
    </fill>
    <fill>
      <patternFill patternType="solid">
        <fgColor rgb="FF004064"/>
        <bgColor indexed="64"/>
      </patternFill>
    </fill>
    <fill>
      <patternFill patternType="solid">
        <fgColor rgb="FFF0F9FA"/>
        <bgColor indexed="64"/>
      </patternFill>
    </fill>
    <fill>
      <patternFill patternType="solid">
        <fgColor rgb="FFF2F4F7"/>
        <bgColor indexed="64"/>
      </patternFill>
    </fill>
    <fill>
      <patternFill patternType="solid">
        <fgColor rgb="FFEDF8F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tint="-0.34998626667073579"/>
        <bgColor indexed="64"/>
      </patternFill>
    </fill>
  </fills>
  <borders count="9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right style="thin">
        <color theme="0" tint="-0.34998626667073579"/>
      </right>
      <top/>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bottom style="thin">
        <color rgb="FF004064"/>
      </bottom>
      <diagonal/>
    </border>
    <border>
      <left style="thin">
        <color theme="0" tint="-0.34998626667073579"/>
      </left>
      <right/>
      <top/>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34998626667073579"/>
      </top>
      <bottom style="thin">
        <color theme="0" tint="-0.249977111117893"/>
      </bottom>
      <diagonal/>
    </border>
    <border>
      <left/>
      <right/>
      <top style="thin">
        <color theme="0" tint="-0.34998626667073579"/>
      </top>
      <bottom style="thin">
        <color theme="0" tint="-0.249977111117893"/>
      </bottom>
      <diagonal/>
    </border>
    <border>
      <left/>
      <right style="thin">
        <color theme="0" tint="-0.34998626667073579"/>
      </right>
      <top style="thin">
        <color theme="0" tint="-0.34998626667073579"/>
      </top>
      <bottom style="thin">
        <color theme="0" tint="-0.249977111117893"/>
      </bottom>
      <diagonal/>
    </border>
    <border>
      <left style="thin">
        <color theme="0" tint="-0.34998626667073579"/>
      </left>
      <right/>
      <top style="thin">
        <color theme="0" tint="-0.24994659260841701"/>
      </top>
      <bottom/>
      <diagonal/>
    </border>
    <border>
      <left style="thin">
        <color theme="0" tint="-0.34998626667073579"/>
      </left>
      <right/>
      <top/>
      <bottom style="thin">
        <color theme="0" tint="-0.24994659260841701"/>
      </bottom>
      <diagonal/>
    </border>
    <border>
      <left style="thin">
        <color theme="0" tint="-0.34998626667073579"/>
      </left>
      <right/>
      <top style="thin">
        <color theme="0" tint="-0.14999847407452621"/>
      </top>
      <bottom style="thin">
        <color theme="0" tint="-0.14999847407452621"/>
      </bottom>
      <diagonal/>
    </border>
    <border>
      <left/>
      <right style="thin">
        <color theme="0" tint="-0.34998626667073579"/>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right/>
      <top style="thin">
        <color theme="0" tint="-0.14999847407452621"/>
      </top>
      <bottom/>
      <diagonal/>
    </border>
    <border>
      <left/>
      <right style="thin">
        <color theme="0" tint="-0.14996795556505021"/>
      </right>
      <top style="thin">
        <color theme="0" tint="-0.14999847407452621"/>
      </top>
      <bottom/>
      <diagonal/>
    </border>
    <border>
      <left style="thin">
        <color theme="0" tint="-0.14996795556505021"/>
      </left>
      <right/>
      <top style="thin">
        <color theme="0" tint="-0.14996795556505021"/>
      </top>
      <bottom style="thin">
        <color theme="0" tint="-0.14996795556505021"/>
      </bottom>
      <diagonal/>
    </border>
    <border>
      <left/>
      <right style="thin">
        <color theme="0" tint="-0.34998626667073579"/>
      </right>
      <top style="thin">
        <color theme="0" tint="-0.14999847407452621"/>
      </top>
      <bottom/>
      <diagonal/>
    </border>
    <border>
      <left/>
      <right/>
      <top style="thin">
        <color theme="0" tint="-0.14996795556505021"/>
      </top>
      <bottom style="thin">
        <color theme="0" tint="-0.14996795556505021"/>
      </bottom>
      <diagonal/>
    </border>
    <border>
      <left style="thin">
        <color theme="0" tint="-0.14996795556505021"/>
      </left>
      <right/>
      <top style="thin">
        <color theme="0" tint="-0.14999847407452621"/>
      </top>
      <bottom style="thin">
        <color theme="0" tint="-0.34998626667073579"/>
      </bottom>
      <diagonal/>
    </border>
    <border>
      <left/>
      <right style="thin">
        <color theme="0" tint="-0.34998626667073579"/>
      </right>
      <top style="thin">
        <color theme="0" tint="-0.14996795556505021"/>
      </top>
      <bottom style="thin">
        <color theme="0" tint="-0.14996795556505021"/>
      </bottom>
      <diagonal/>
    </border>
    <border>
      <left style="thin">
        <color theme="0" tint="-0.14996795556505021"/>
      </left>
      <right/>
      <top style="double">
        <color theme="0" tint="-0.34998626667073579"/>
      </top>
      <bottom style="thin">
        <color theme="0" tint="-0.34998626667073579"/>
      </bottom>
      <diagonal/>
    </border>
    <border>
      <left/>
      <right style="thin">
        <color theme="0" tint="-0.14996795556505021"/>
      </right>
      <top style="double">
        <color theme="0" tint="-0.34998626667073579"/>
      </top>
      <bottom style="thin">
        <color theme="0" tint="-0.34998626667073579"/>
      </bottom>
      <diagonal/>
    </border>
    <border>
      <left/>
      <right style="thin">
        <color theme="0" tint="-0.34998626667073579"/>
      </right>
      <top style="double">
        <color theme="0" tint="-0.34998626667073579"/>
      </top>
      <bottom style="thin">
        <color theme="0" tint="-0.34998626667073579"/>
      </bottom>
      <diagonal/>
    </border>
    <border>
      <left/>
      <right/>
      <top style="double">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auto="1"/>
      </left>
      <right style="thin">
        <color auto="1"/>
      </right>
      <top style="thin">
        <color auto="1"/>
      </top>
      <bottom style="thin">
        <color auto="1"/>
      </bottom>
      <diagonal/>
    </border>
    <border>
      <left/>
      <right/>
      <top style="thin">
        <color theme="0" tint="-0.14999847407452621"/>
      </top>
      <bottom style="thin">
        <color theme="0" tint="-0.34998626667073579"/>
      </bottom>
      <diagonal/>
    </border>
    <border>
      <left style="thin">
        <color theme="0" tint="-0.24994659260841701"/>
      </left>
      <right/>
      <top style="thin">
        <color theme="0" tint="-0.34998626667073579"/>
      </top>
      <bottom style="thin">
        <color theme="0" tint="-0.34998626667073579"/>
      </bottom>
      <diagonal/>
    </border>
    <border>
      <left/>
      <right style="thin">
        <color theme="0" tint="-0.249977111117893"/>
      </right>
      <top/>
      <bottom/>
      <diagonal/>
    </border>
    <border>
      <left style="thin">
        <color theme="0" tint="-0.34998626667073579"/>
      </left>
      <right/>
      <top/>
      <bottom style="thin">
        <color theme="0" tint="-0.14999847407452621"/>
      </bottom>
      <diagonal/>
    </border>
    <border>
      <left/>
      <right/>
      <top/>
      <bottom style="thin">
        <color theme="0" tint="-0.14999847407452621"/>
      </bottom>
      <diagonal/>
    </border>
    <border>
      <left/>
      <right style="thin">
        <color theme="0" tint="-0.34998626667073579"/>
      </right>
      <top/>
      <bottom style="thin">
        <color theme="0" tint="-0.14999847407452621"/>
      </bottom>
      <diagonal/>
    </border>
    <border>
      <left style="thin">
        <color auto="1"/>
      </left>
      <right/>
      <top/>
      <bottom/>
      <diagonal/>
    </border>
    <border>
      <left style="thin">
        <color theme="0" tint="-0.34998626667073579"/>
      </left>
      <right style="thin">
        <color theme="0" tint="-0.24994659260841701"/>
      </right>
      <top style="thin">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theme="0" tint="-0.34998626667073579"/>
      </left>
      <right/>
      <top style="thin">
        <color theme="0" tint="-0.34998626667073579"/>
      </top>
      <bottom style="thin">
        <color theme="0" tint="-0.14996795556505021"/>
      </bottom>
      <diagonal/>
    </border>
    <border>
      <left/>
      <right style="thin">
        <color theme="0" tint="-0.34998626667073579"/>
      </right>
      <top style="thin">
        <color theme="0" tint="-0.34998626667073579"/>
      </top>
      <bottom style="thin">
        <color theme="0" tint="-0.14996795556505021"/>
      </bottom>
      <diagonal/>
    </border>
    <border>
      <left style="thin">
        <color theme="0" tint="-0.34998626667073579"/>
      </left>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34998626667073579"/>
      </bottom>
      <diagonal/>
    </border>
    <border>
      <left/>
      <right style="thin">
        <color theme="0" tint="-0.34998626667073579"/>
      </right>
      <top style="thin">
        <color theme="0" tint="-0.14996795556505021"/>
      </top>
      <bottom style="thin">
        <color theme="0" tint="-0.34998626667073579"/>
      </bottom>
      <diagonal/>
    </border>
    <border>
      <left/>
      <right/>
      <top style="thin">
        <color theme="0" tint="-0.14996795556505021"/>
      </top>
      <bottom style="thin">
        <color theme="0" tint="-0.14993743705557422"/>
      </bottom>
      <diagonal/>
    </border>
    <border>
      <left style="thin">
        <color theme="0" tint="-0.34998626667073579"/>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style="thin">
        <color theme="0" tint="-0.24994659260841701"/>
      </left>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3743705557422"/>
      </bottom>
      <diagonal/>
    </border>
    <border>
      <left/>
      <right style="thin">
        <color theme="0" tint="-0.14993743705557422"/>
      </right>
      <top style="thin">
        <color theme="0" tint="-0.14996795556505021"/>
      </top>
      <bottom style="thin">
        <color theme="0" tint="-0.14996795556505021"/>
      </bottom>
      <diagonal/>
    </border>
    <border>
      <left style="thin">
        <color theme="0" tint="-0.34998626667073579"/>
      </left>
      <right/>
      <top style="thin">
        <color theme="0" tint="-0.14996795556505021"/>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style="thin">
        <color theme="0" tint="-0.34998626667073579"/>
      </left>
      <right/>
      <top/>
      <bottom style="thin">
        <color theme="0" tint="-0.14996795556505021"/>
      </bottom>
      <diagonal/>
    </border>
    <border>
      <left/>
      <right style="thin">
        <color theme="0" tint="-0.14996795556505021"/>
      </right>
      <top/>
      <bottom style="thin">
        <color theme="0" tint="-0.14996795556505021"/>
      </bottom>
      <diagonal/>
    </border>
    <border>
      <left/>
      <right/>
      <top style="thin">
        <color theme="0" tint="-0.14996795556505021"/>
      </top>
      <bottom style="thin">
        <color theme="0" tint="-0.34998626667073579"/>
      </bottom>
      <diagonal/>
    </border>
    <border>
      <left/>
      <right/>
      <top style="thin">
        <color theme="0" tint="-0.34998626667073579"/>
      </top>
      <bottom style="thin">
        <color theme="0" tint="-0.14996795556505021"/>
      </bottom>
      <diagonal/>
    </border>
    <border>
      <left/>
      <right/>
      <top/>
      <bottom style="thin">
        <color theme="0" tint="-0.14996795556505021"/>
      </bottom>
      <diagonal/>
    </border>
    <border>
      <left/>
      <right style="thin">
        <color theme="0" tint="-0.34998626667073579"/>
      </right>
      <top/>
      <bottom style="thin">
        <color theme="0" tint="-0.14996795556505021"/>
      </bottom>
      <diagonal/>
    </border>
    <border>
      <left style="thin">
        <color theme="0" tint="-0.24994659260841701"/>
      </left>
      <right/>
      <top style="thin">
        <color theme="0" tint="-0.14996795556505021"/>
      </top>
      <bottom style="thin">
        <color theme="0" tint="-0.34998626667073579"/>
      </bottom>
      <diagonal/>
    </border>
    <border>
      <left/>
      <right style="thin">
        <color theme="0" tint="-0.14993743705557422"/>
      </right>
      <top style="thin">
        <color theme="0" tint="-0.14996795556505021"/>
      </top>
      <bottom style="thin">
        <color theme="0" tint="-0.34998626667073579"/>
      </bottom>
      <diagonal/>
    </border>
    <border>
      <left/>
      <right style="thin">
        <color theme="0" tint="-0.14999847407452621"/>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14999847407452621"/>
      </bottom>
      <diagonal/>
    </border>
    <border>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6795556505021"/>
      </right>
      <top style="thin">
        <color theme="0" tint="-0.14996795556505021"/>
      </top>
      <bottom style="thin">
        <color theme="0" tint="-0.14996795556505021"/>
      </bottom>
      <diagonal/>
    </border>
    <border>
      <left/>
      <right/>
      <top style="thin">
        <color theme="0" tint="-0.14996795556505021"/>
      </top>
      <bottom/>
      <diagonal/>
    </border>
    <border>
      <left/>
      <right style="thin">
        <color theme="0" tint="-0.34998626667073579"/>
      </right>
      <top style="thin">
        <color theme="0" tint="-0.14996795556505021"/>
      </top>
      <bottom/>
      <diagonal/>
    </border>
    <border>
      <left style="thin">
        <color theme="0" tint="-0.14996795556505021"/>
      </left>
      <right/>
      <top style="thin">
        <color theme="0" tint="-0.14996795556505021"/>
      </top>
      <bottom style="thin">
        <color theme="0" tint="-0.34998626667073579"/>
      </bottom>
      <diagonal/>
    </border>
    <border>
      <left/>
      <right style="thin">
        <color theme="0" tint="-0.14996795556505021"/>
      </right>
      <top style="thin">
        <color theme="0" tint="-0.14996795556505021"/>
      </top>
      <bottom style="thin">
        <color theme="0" tint="-0.34998626667073579"/>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6795556505021"/>
      </top>
      <bottom style="thin">
        <color theme="0" tint="-0.14996795556505021"/>
      </bottom>
      <diagonal/>
    </border>
    <border>
      <left/>
      <right/>
      <top style="thin">
        <color theme="0" tint="-0.14999847407452621"/>
      </top>
      <bottom style="thin">
        <color theme="0" tint="-0.14999847407452621"/>
      </bottom>
      <diagonal/>
    </border>
    <border>
      <left style="thin">
        <color theme="0" tint="-0.14993743705557422"/>
      </left>
      <right/>
      <top style="thin">
        <color theme="0" tint="-0.14996795556505021"/>
      </top>
      <bottom style="thin">
        <color theme="0" tint="-0.34998626667073579"/>
      </bottom>
      <diagonal/>
    </border>
    <border>
      <left style="thin">
        <color theme="0" tint="-0.14996795556505021"/>
      </left>
      <right/>
      <top style="thin">
        <color theme="0" tint="-0.14993743705557422"/>
      </top>
      <bottom style="thin">
        <color theme="0" tint="-0.34998626667073579"/>
      </bottom>
      <diagonal/>
    </border>
    <border>
      <left/>
      <right/>
      <top style="thin">
        <color theme="0" tint="-0.14993743705557422"/>
      </top>
      <bottom style="thin">
        <color theme="0" tint="-0.34998626667073579"/>
      </bottom>
      <diagonal/>
    </border>
    <border>
      <left/>
      <right style="thin">
        <color theme="0" tint="-0.34998626667073579"/>
      </right>
      <top style="thin">
        <color theme="0" tint="-0.14993743705557422"/>
      </top>
      <bottom style="thin">
        <color theme="0" tint="-0.34998626667073579"/>
      </bottom>
      <diagonal/>
    </border>
    <border>
      <left style="thin">
        <color theme="0" tint="-0.14993743705557422"/>
      </left>
      <right/>
      <top style="thin">
        <color theme="0" tint="-0.14993743705557422"/>
      </top>
      <bottom style="thin">
        <color theme="0" tint="-0.14993743705557422"/>
      </bottom>
      <diagonal/>
    </border>
    <border>
      <left/>
      <right style="thin">
        <color theme="0" tint="-0.34998626667073579"/>
      </right>
      <top style="thin">
        <color theme="0" tint="-0.14993743705557422"/>
      </top>
      <bottom style="thin">
        <color theme="0" tint="-0.14993743705557422"/>
      </bottom>
      <diagonal/>
    </border>
    <border>
      <left style="thin">
        <color theme="0" tint="-0.14996795556505021"/>
      </left>
      <right/>
      <top style="thin">
        <color theme="0" tint="-0.14993743705557422"/>
      </top>
      <bottom/>
      <diagonal/>
    </border>
    <border>
      <left/>
      <right style="thin">
        <color theme="0" tint="-0.14993743705557422"/>
      </right>
      <top style="thin">
        <color theme="0" tint="-0.14993743705557422"/>
      </top>
      <bottom/>
      <diagonal/>
    </border>
    <border>
      <left/>
      <right style="thin">
        <color theme="0" tint="-0.14993743705557422"/>
      </right>
      <top style="thin">
        <color theme="0" tint="-0.14999847407452621"/>
      </top>
      <bottom style="thin">
        <color theme="0" tint="-0.14999847407452621"/>
      </bottom>
      <diagonal/>
    </border>
    <border>
      <left/>
      <right style="thin">
        <color theme="0" tint="-0.14993743705557422"/>
      </right>
      <top style="thin">
        <color theme="0" tint="-0.14999847407452621"/>
      </top>
      <bottom style="thin">
        <color theme="0" tint="-0.34998626667073579"/>
      </bottom>
      <diagonal/>
    </border>
    <border>
      <left/>
      <right style="thin">
        <color theme="0" tint="-0.14996795556505021"/>
      </right>
      <top style="thin">
        <color theme="0" tint="-0.34998626667073579"/>
      </top>
      <bottom/>
      <diagonal/>
    </border>
    <border>
      <left style="thin">
        <color theme="0" tint="-0.34998626667073579"/>
      </left>
      <right/>
      <top style="thin">
        <color theme="0" tint="-0.14999847407452621"/>
      </top>
      <bottom style="thin">
        <color theme="0" tint="-0.34998626667073579"/>
      </bottom>
      <diagonal/>
    </border>
    <border>
      <left style="thin">
        <color theme="0" tint="-0.14996795556505021"/>
      </left>
      <right/>
      <top/>
      <bottom/>
      <diagonal/>
    </border>
  </borders>
  <cellStyleXfs count="6">
    <xf numFmtId="0" fontId="0" fillId="0" borderId="0"/>
    <xf numFmtId="0" fontId="3" fillId="0" borderId="0" applyNumberForma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5" fillId="0" borderId="0" applyNumberFormat="0" applyFill="0" applyBorder="0" applyAlignment="0" applyProtection="0"/>
  </cellStyleXfs>
  <cellXfs count="396">
    <xf numFmtId="0" fontId="0" fillId="0" borderId="0" xfId="0"/>
    <xf numFmtId="49" fontId="13" fillId="5" borderId="58" xfId="0" applyNumberFormat="1" applyFont="1" applyFill="1" applyBorder="1" applyAlignment="1" applyProtection="1">
      <alignment horizontal="left" vertical="center" wrapText="1" indent="1"/>
      <protection locked="0"/>
    </xf>
    <xf numFmtId="0" fontId="13" fillId="0" borderId="60" xfId="0" applyFont="1" applyBorder="1" applyAlignment="1" applyProtection="1">
      <alignment horizontal="left" vertical="center" wrapText="1" indent="1"/>
      <protection locked="0"/>
    </xf>
    <xf numFmtId="0" fontId="13" fillId="5" borderId="60" xfId="0" applyFont="1" applyFill="1" applyBorder="1" applyAlignment="1" applyProtection="1">
      <alignment horizontal="left" vertical="center" wrapText="1" indent="1"/>
      <protection locked="0"/>
    </xf>
    <xf numFmtId="0" fontId="13" fillId="5" borderId="61" xfId="0" applyFont="1" applyFill="1" applyBorder="1" applyAlignment="1" applyProtection="1">
      <alignment horizontal="left" vertical="center" wrapText="1" indent="1"/>
      <protection locked="0"/>
    </xf>
    <xf numFmtId="164" fontId="13" fillId="5" borderId="61" xfId="2" applyNumberFormat="1" applyFont="1" applyFill="1" applyBorder="1" applyAlignment="1" applyProtection="1">
      <alignment horizontal="right" vertical="center" wrapText="1" indent="1"/>
      <protection locked="0"/>
    </xf>
    <xf numFmtId="164" fontId="13" fillId="5" borderId="34" xfId="2" applyNumberFormat="1" applyFont="1" applyFill="1" applyBorder="1" applyAlignment="1" applyProtection="1">
      <alignment horizontal="left" vertical="center" wrapText="1" indent="1"/>
      <protection locked="0"/>
    </xf>
    <xf numFmtId="164" fontId="13" fillId="5" borderId="61" xfId="2" applyNumberFormat="1" applyFont="1" applyFill="1" applyBorder="1" applyAlignment="1" applyProtection="1">
      <alignment horizontal="left" vertical="center" wrapText="1" indent="1"/>
      <protection locked="0"/>
    </xf>
    <xf numFmtId="43" fontId="13" fillId="5" borderId="32" xfId="2" applyFont="1" applyFill="1" applyBorder="1" applyAlignment="1" applyProtection="1">
      <alignment horizontal="left" vertical="center" wrapText="1" indent="1"/>
      <protection locked="0"/>
    </xf>
    <xf numFmtId="43" fontId="13" fillId="5" borderId="61" xfId="2" applyFont="1" applyFill="1" applyBorder="1" applyAlignment="1" applyProtection="1">
      <alignment horizontal="left" vertical="center" wrapText="1" indent="1"/>
      <protection locked="0"/>
    </xf>
    <xf numFmtId="43" fontId="13" fillId="5" borderId="76" xfId="2" applyFont="1" applyFill="1" applyBorder="1" applyAlignment="1" applyProtection="1">
      <alignment horizontal="left" vertical="center" wrapText="1" indent="1"/>
      <protection locked="0"/>
    </xf>
    <xf numFmtId="43" fontId="13" fillId="9" borderId="77" xfId="2" applyFont="1" applyFill="1" applyBorder="1" applyAlignment="1" applyProtection="1">
      <alignment horizontal="left" vertical="center" wrapText="1" indent="1"/>
      <protection locked="0"/>
    </xf>
    <xf numFmtId="165" fontId="13" fillId="5" borderId="81" xfId="2" applyNumberFormat="1" applyFont="1" applyFill="1" applyBorder="1" applyAlignment="1" applyProtection="1">
      <alignment horizontal="left" vertical="center" wrapText="1" indent="1"/>
      <protection locked="0"/>
    </xf>
    <xf numFmtId="164" fontId="13" fillId="5" borderId="73" xfId="2" applyNumberFormat="1" applyFont="1" applyFill="1" applyBorder="1" applyAlignment="1" applyProtection="1">
      <alignment horizontal="left" vertical="center" wrapText="1" indent="1"/>
      <protection locked="0"/>
    </xf>
    <xf numFmtId="164" fontId="13" fillId="5" borderId="25" xfId="2" applyNumberFormat="1" applyFont="1" applyFill="1" applyBorder="1" applyAlignment="1" applyProtection="1">
      <alignment horizontal="left" vertical="center" wrapText="1" indent="1"/>
      <protection locked="0"/>
    </xf>
    <xf numFmtId="164" fontId="13" fillId="5" borderId="26" xfId="2" applyNumberFormat="1" applyFont="1" applyFill="1" applyBorder="1" applyAlignment="1" applyProtection="1">
      <alignment horizontal="left" vertical="center" wrapText="1" indent="1"/>
      <protection locked="0"/>
    </xf>
    <xf numFmtId="165" fontId="13" fillId="5" borderId="34" xfId="3" applyNumberFormat="1" applyFont="1" applyFill="1" applyBorder="1" applyAlignment="1" applyProtection="1">
      <alignment horizontal="left" vertical="center" wrapText="1" indent="1"/>
      <protection locked="0"/>
    </xf>
    <xf numFmtId="165" fontId="13" fillId="5" borderId="61" xfId="3" applyNumberFormat="1" applyFont="1" applyFill="1" applyBorder="1" applyAlignment="1" applyProtection="1">
      <alignment horizontal="left" vertical="center" wrapText="1" indent="1"/>
      <protection locked="0"/>
    </xf>
    <xf numFmtId="0" fontId="10" fillId="0" borderId="0" xfId="0" applyFont="1"/>
    <xf numFmtId="0" fontId="57" fillId="16" borderId="0" xfId="0" applyFont="1" applyFill="1" applyAlignment="1">
      <alignment horizontal="left" indent="1"/>
    </xf>
    <xf numFmtId="0" fontId="46" fillId="10" borderId="0" xfId="0" applyFont="1" applyFill="1" applyAlignment="1">
      <alignment horizontal="center"/>
    </xf>
    <xf numFmtId="0" fontId="24" fillId="4" borderId="5" xfId="0" applyFont="1" applyFill="1" applyBorder="1" applyAlignment="1">
      <alignment horizontal="left" indent="1"/>
    </xf>
    <xf numFmtId="165" fontId="46" fillId="3" borderId="5" xfId="3" applyNumberFormat="1" applyFont="1" applyFill="1" applyBorder="1" applyProtection="1"/>
    <xf numFmtId="165" fontId="46" fillId="3" borderId="5" xfId="0" applyNumberFormat="1" applyFont="1" applyFill="1" applyBorder="1"/>
    <xf numFmtId="0" fontId="10" fillId="4" borderId="5" xfId="0" applyFont="1" applyFill="1" applyBorder="1" applyAlignment="1">
      <alignment horizontal="left" indent="1"/>
    </xf>
    <xf numFmtId="9" fontId="46" fillId="3" borderId="5" xfId="3" applyNumberFormat="1" applyFont="1" applyFill="1" applyBorder="1" applyProtection="1"/>
    <xf numFmtId="9" fontId="46" fillId="3" borderId="5" xfId="0" applyNumberFormat="1" applyFont="1" applyFill="1" applyBorder="1"/>
    <xf numFmtId="0" fontId="10" fillId="0" borderId="0" xfId="0" applyFont="1" applyAlignment="1">
      <alignment horizontal="left" indent="1"/>
    </xf>
    <xf numFmtId="0" fontId="24" fillId="0" borderId="0" xfId="0" applyFont="1"/>
    <xf numFmtId="0" fontId="7" fillId="0" borderId="0" xfId="0" applyFont="1"/>
    <xf numFmtId="0" fontId="54" fillId="0" borderId="0" xfId="0" applyFont="1"/>
    <xf numFmtId="0" fontId="8" fillId="0" borderId="0" xfId="0" applyFont="1" applyAlignment="1">
      <alignment horizontal="right" vertical="center" wrapText="1"/>
    </xf>
    <xf numFmtId="0" fontId="8" fillId="0" borderId="0" xfId="0" applyFont="1" applyAlignment="1">
      <alignment horizontal="center" vertical="center" wrapText="1"/>
    </xf>
    <xf numFmtId="0" fontId="8" fillId="0" borderId="0" xfId="0" applyFont="1" applyAlignment="1">
      <alignment vertical="center"/>
    </xf>
    <xf numFmtId="0" fontId="8" fillId="3" borderId="1" xfId="0" applyFont="1" applyFill="1" applyBorder="1" applyAlignment="1">
      <alignment vertical="top" wrapText="1"/>
    </xf>
    <xf numFmtId="0" fontId="46" fillId="0" borderId="0" xfId="0" applyFont="1"/>
    <xf numFmtId="0" fontId="10" fillId="0" borderId="1" xfId="0" applyFont="1" applyBorder="1" applyAlignment="1">
      <alignment vertical="top" wrapText="1"/>
    </xf>
    <xf numFmtId="0" fontId="46" fillId="13" borderId="1" xfId="0" applyFont="1" applyFill="1" applyBorder="1" applyAlignment="1">
      <alignment vertical="top" wrapText="1"/>
    </xf>
    <xf numFmtId="0" fontId="52" fillId="0" borderId="0" xfId="1" applyFont="1" applyProtection="1"/>
    <xf numFmtId="0" fontId="52" fillId="0" borderId="0" xfId="1" applyFont="1" applyAlignment="1" applyProtection="1">
      <alignment vertical="center"/>
    </xf>
    <xf numFmtId="0" fontId="10" fillId="0" borderId="0" xfId="0" applyFont="1" applyAlignment="1">
      <alignment vertical="top" wrapText="1"/>
    </xf>
    <xf numFmtId="44" fontId="46" fillId="13" borderId="1" xfId="3" applyFont="1" applyFill="1" applyBorder="1" applyAlignment="1" applyProtection="1">
      <alignment vertical="top" wrapText="1"/>
    </xf>
    <xf numFmtId="17" fontId="10" fillId="0" borderId="0" xfId="0" applyNumberFormat="1" applyFont="1"/>
    <xf numFmtId="0" fontId="55" fillId="0" borderId="1" xfId="0" applyFont="1" applyBorder="1" applyAlignment="1">
      <alignment vertical="top" wrapText="1"/>
    </xf>
    <xf numFmtId="164" fontId="46" fillId="13" borderId="1" xfId="2" applyNumberFormat="1" applyFont="1" applyFill="1" applyBorder="1" applyAlignment="1" applyProtection="1">
      <alignment vertical="top" wrapText="1"/>
    </xf>
    <xf numFmtId="165" fontId="7" fillId="0" borderId="41" xfId="3" applyNumberFormat="1" applyFont="1" applyBorder="1" applyProtection="1"/>
    <xf numFmtId="164" fontId="29" fillId="13" borderId="72" xfId="2" applyNumberFormat="1" applyFont="1" applyFill="1" applyBorder="1" applyAlignment="1" applyProtection="1">
      <alignment vertical="center" wrapText="1"/>
    </xf>
    <xf numFmtId="164" fontId="29" fillId="13" borderId="13" xfId="2" applyNumberFormat="1" applyFont="1" applyFill="1" applyBorder="1" applyAlignment="1" applyProtection="1">
      <alignment vertical="center" wrapText="1"/>
    </xf>
    <xf numFmtId="165" fontId="29" fillId="2" borderId="55" xfId="3" applyNumberFormat="1" applyFont="1" applyFill="1" applyBorder="1" applyAlignment="1" applyProtection="1">
      <alignment vertical="center" wrapText="1"/>
    </xf>
    <xf numFmtId="164" fontId="29" fillId="13" borderId="61" xfId="2" applyNumberFormat="1" applyFont="1" applyFill="1" applyBorder="1" applyAlignment="1" applyProtection="1">
      <alignment vertical="center" wrapText="1"/>
    </xf>
    <xf numFmtId="164" fontId="29" fillId="13" borderId="34" xfId="2" applyNumberFormat="1" applyFont="1" applyFill="1" applyBorder="1" applyAlignment="1" applyProtection="1">
      <alignment vertical="center" wrapText="1"/>
    </xf>
    <xf numFmtId="43" fontId="24" fillId="12" borderId="0" xfId="2" applyFont="1" applyFill="1" applyBorder="1" applyAlignment="1" applyProtection="1">
      <alignment vertical="center" wrapText="1"/>
    </xf>
    <xf numFmtId="43" fontId="24" fillId="12" borderId="7" xfId="2" applyFont="1" applyFill="1" applyBorder="1" applyAlignment="1" applyProtection="1">
      <alignment vertical="center" wrapText="1"/>
    </xf>
    <xf numFmtId="167" fontId="29" fillId="13" borderId="72" xfId="3" applyNumberFormat="1" applyFont="1" applyFill="1" applyBorder="1" applyAlignment="1" applyProtection="1">
      <alignment horizontal="right" vertical="center" wrapText="1" indent="1"/>
    </xf>
    <xf numFmtId="43" fontId="24" fillId="12" borderId="8" xfId="2" applyFont="1" applyFill="1" applyBorder="1" applyAlignment="1" applyProtection="1">
      <alignment vertical="center" wrapText="1"/>
    </xf>
    <xf numFmtId="165" fontId="29" fillId="2" borderId="67" xfId="3" applyNumberFormat="1" applyFont="1" applyFill="1" applyBorder="1" applyAlignment="1" applyProtection="1">
      <alignment vertical="center" wrapText="1"/>
    </xf>
    <xf numFmtId="164" fontId="29" fillId="2" borderId="55" xfId="2" applyNumberFormat="1" applyFont="1" applyFill="1" applyBorder="1" applyAlignment="1" applyProtection="1">
      <alignment vertical="center" wrapText="1"/>
    </xf>
    <xf numFmtId="164" fontId="29" fillId="2" borderId="90" xfId="2" applyNumberFormat="1" applyFont="1" applyFill="1" applyBorder="1" applyAlignment="1" applyProtection="1">
      <alignment vertical="center" wrapText="1"/>
    </xf>
    <xf numFmtId="43" fontId="25" fillId="12" borderId="7" xfId="2" applyFont="1" applyFill="1" applyBorder="1" applyAlignment="1" applyProtection="1">
      <alignment vertical="center" wrapText="1"/>
    </xf>
    <xf numFmtId="1" fontId="13" fillId="12" borderId="0" xfId="2" applyNumberFormat="1" applyFont="1" applyFill="1" applyBorder="1" applyAlignment="1" applyProtection="1">
      <alignment horizontal="left" vertical="center" wrapText="1" indent="1"/>
    </xf>
    <xf numFmtId="43" fontId="10" fillId="12" borderId="7" xfId="2" applyFont="1" applyFill="1" applyBorder="1" applyAlignment="1" applyProtection="1">
      <alignment horizontal="left" vertical="center" wrapText="1" indent="1"/>
    </xf>
    <xf numFmtId="0" fontId="65" fillId="12" borderId="0" xfId="1" applyFont="1" applyFill="1" applyBorder="1" applyAlignment="1" applyProtection="1">
      <alignment horizontal="left" vertical="center" indent="1"/>
    </xf>
    <xf numFmtId="1" fontId="13" fillId="12" borderId="15" xfId="2" applyNumberFormat="1" applyFont="1" applyFill="1" applyBorder="1" applyAlignment="1" applyProtection="1">
      <alignment horizontal="left" vertical="center" wrapText="1" indent="1"/>
    </xf>
    <xf numFmtId="43" fontId="10" fillId="12" borderId="8" xfId="2" applyFont="1" applyFill="1" applyBorder="1" applyAlignment="1" applyProtection="1">
      <alignment horizontal="left" vertical="center" wrapText="1" indent="1"/>
    </xf>
    <xf numFmtId="1" fontId="13" fillId="12" borderId="32" xfId="2" applyNumberFormat="1" applyFont="1" applyFill="1" applyBorder="1" applyAlignment="1" applyProtection="1">
      <alignment horizontal="left" vertical="center" wrapText="1" indent="1"/>
    </xf>
    <xf numFmtId="43" fontId="10" fillId="12" borderId="34" xfId="2" applyFont="1" applyFill="1" applyBorder="1" applyAlignment="1" applyProtection="1">
      <alignment horizontal="left" vertical="center" wrapText="1" indent="1"/>
    </xf>
    <xf numFmtId="44" fontId="49" fillId="13" borderId="72" xfId="2" applyNumberFormat="1" applyFont="1" applyFill="1" applyBorder="1" applyAlignment="1" applyProtection="1">
      <alignment horizontal="left" vertical="center" wrapText="1" indent="1"/>
    </xf>
    <xf numFmtId="44" fontId="49" fillId="13" borderId="55" xfId="2" applyNumberFormat="1" applyFont="1" applyFill="1" applyBorder="1" applyAlignment="1" applyProtection="1">
      <alignment horizontal="left" vertical="center" wrapText="1" indent="1"/>
    </xf>
    <xf numFmtId="1" fontId="13" fillId="12" borderId="6" xfId="2" applyNumberFormat="1" applyFont="1" applyFill="1" applyBorder="1" applyAlignment="1" applyProtection="1">
      <alignment horizontal="left" vertical="center" wrapText="1" indent="1"/>
    </xf>
    <xf numFmtId="43" fontId="10" fillId="12" borderId="40" xfId="2" applyFont="1" applyFill="1" applyBorder="1" applyAlignment="1" applyProtection="1">
      <alignment horizontal="left" vertical="center" wrapText="1" indent="1"/>
    </xf>
    <xf numFmtId="43" fontId="13" fillId="12" borderId="0" xfId="2" applyFont="1" applyFill="1" applyBorder="1" applyAlignment="1" applyProtection="1">
      <alignment horizontal="left" vertical="center" wrapText="1" indent="1"/>
    </xf>
    <xf numFmtId="43" fontId="13" fillId="12" borderId="7" xfId="2" applyFont="1" applyFill="1" applyBorder="1" applyAlignment="1" applyProtection="1">
      <alignment horizontal="left" vertical="center" wrapText="1" indent="1"/>
    </xf>
    <xf numFmtId="44" fontId="13" fillId="12" borderId="0" xfId="2" applyNumberFormat="1" applyFont="1" applyFill="1" applyBorder="1" applyAlignment="1" applyProtection="1">
      <alignment horizontal="left" vertical="center" wrapText="1" indent="1"/>
    </xf>
    <xf numFmtId="44" fontId="13" fillId="12" borderId="8" xfId="2" applyNumberFormat="1" applyFont="1" applyFill="1" applyBorder="1" applyAlignment="1" applyProtection="1">
      <alignment horizontal="left" vertical="center" wrapText="1" indent="1"/>
    </xf>
    <xf numFmtId="43" fontId="13" fillId="12" borderId="32" xfId="2" applyFont="1" applyFill="1" applyBorder="1" applyAlignment="1" applyProtection="1">
      <alignment horizontal="centerContinuous" vertical="center" wrapText="1"/>
    </xf>
    <xf numFmtId="43" fontId="13" fillId="12" borderId="34" xfId="2" applyFont="1" applyFill="1" applyBorder="1" applyAlignment="1" applyProtection="1">
      <alignment horizontal="centerContinuous" vertical="center" wrapText="1"/>
    </xf>
    <xf numFmtId="43" fontId="13" fillId="12" borderId="32" xfId="2" applyFont="1" applyFill="1" applyBorder="1" applyAlignment="1" applyProtection="1">
      <alignment horizontal="left" vertical="center" wrapText="1" indent="1"/>
    </xf>
    <xf numFmtId="43" fontId="13" fillId="12" borderId="34" xfId="2" applyFont="1" applyFill="1" applyBorder="1" applyAlignment="1" applyProtection="1">
      <alignment horizontal="left" vertical="center" wrapText="1" indent="1"/>
    </xf>
    <xf numFmtId="165" fontId="29" fillId="13" borderId="34" xfId="3" applyNumberFormat="1" applyFont="1" applyFill="1" applyBorder="1" applyAlignment="1" applyProtection="1">
      <alignment horizontal="left" vertical="center" wrapText="1" indent="1"/>
    </xf>
    <xf numFmtId="165" fontId="29" fillId="13" borderId="13" xfId="3" applyNumberFormat="1" applyFont="1" applyFill="1" applyBorder="1" applyAlignment="1" applyProtection="1">
      <alignment horizontal="left" vertical="center" wrapText="1" indent="1"/>
    </xf>
    <xf numFmtId="43" fontId="13" fillId="12" borderId="14" xfId="2" applyFont="1" applyFill="1" applyBorder="1" applyAlignment="1" applyProtection="1">
      <alignment horizontal="left" vertical="center" wrapText="1" indent="1"/>
    </xf>
    <xf numFmtId="43" fontId="13" fillId="12" borderId="15" xfId="2" applyFont="1" applyFill="1" applyBorder="1" applyAlignment="1" applyProtection="1">
      <alignment horizontal="left" vertical="center" wrapText="1" indent="1"/>
    </xf>
    <xf numFmtId="43" fontId="13" fillId="12" borderId="40" xfId="2" applyFont="1" applyFill="1" applyBorder="1" applyAlignment="1" applyProtection="1">
      <alignment horizontal="left" vertical="center" wrapText="1" indent="1"/>
    </xf>
    <xf numFmtId="165" fontId="29" fillId="13" borderId="72" xfId="3" applyNumberFormat="1" applyFont="1" applyFill="1" applyBorder="1" applyAlignment="1" applyProtection="1">
      <alignment horizontal="left" vertical="center" wrapText="1" indent="1"/>
    </xf>
    <xf numFmtId="44" fontId="15" fillId="12" borderId="0" xfId="3" applyFont="1" applyFill="1" applyBorder="1" applyAlignment="1" applyProtection="1">
      <alignment horizontal="left" vertical="center" wrapText="1" indent="1"/>
    </xf>
    <xf numFmtId="0" fontId="0" fillId="11" borderId="9" xfId="0" applyFill="1" applyBorder="1"/>
    <xf numFmtId="0" fontId="0" fillId="11" borderId="11" xfId="0" applyFill="1" applyBorder="1"/>
    <xf numFmtId="0" fontId="0" fillId="6" borderId="17" xfId="0" applyFill="1" applyBorder="1"/>
    <xf numFmtId="0" fontId="8" fillId="6" borderId="7" xfId="0" applyFont="1" applyFill="1" applyBorder="1" applyAlignment="1">
      <alignment vertical="center" wrapText="1"/>
    </xf>
    <xf numFmtId="0" fontId="7" fillId="9" borderId="0" xfId="0" applyFont="1" applyFill="1"/>
    <xf numFmtId="0" fontId="10" fillId="12" borderId="0" xfId="0" applyFont="1" applyFill="1" applyAlignment="1">
      <alignment horizontal="left" vertical="center" wrapText="1" indent="1"/>
    </xf>
    <xf numFmtId="0" fontId="13" fillId="12" borderId="0" xfId="0" applyFont="1" applyFill="1" applyAlignment="1">
      <alignment horizontal="left" vertical="center" wrapText="1" indent="1"/>
    </xf>
    <xf numFmtId="0" fontId="0" fillId="0" borderId="0" xfId="0" applyAlignment="1">
      <alignment vertical="center"/>
    </xf>
    <xf numFmtId="0" fontId="36" fillId="0" borderId="0" xfId="0" applyFont="1"/>
    <xf numFmtId="0" fontId="7" fillId="12" borderId="0" xfId="0" applyFont="1" applyFill="1"/>
    <xf numFmtId="0" fontId="7" fillId="11" borderId="0" xfId="0" applyFont="1" applyFill="1"/>
    <xf numFmtId="0" fontId="7" fillId="0" borderId="16" xfId="0" applyFont="1" applyBorder="1"/>
    <xf numFmtId="0" fontId="39" fillId="0" borderId="41" xfId="0" applyFont="1" applyBorder="1"/>
    <xf numFmtId="0" fontId="7" fillId="0" borderId="41" xfId="0" applyFont="1" applyBorder="1"/>
    <xf numFmtId="0" fontId="66" fillId="0" borderId="41" xfId="0" applyFont="1" applyBorder="1"/>
    <xf numFmtId="0" fontId="39" fillId="0" borderId="0" xfId="0" applyFont="1"/>
    <xf numFmtId="0" fontId="7" fillId="17" borderId="0" xfId="0" applyFont="1" applyFill="1"/>
    <xf numFmtId="0" fontId="7" fillId="2" borderId="0" xfId="0" applyFont="1" applyFill="1"/>
    <xf numFmtId="49" fontId="46" fillId="13" borderId="1" xfId="0" applyNumberFormat="1" applyFont="1" applyFill="1" applyBorder="1" applyAlignment="1">
      <alignment vertical="top" wrapText="1"/>
    </xf>
    <xf numFmtId="14" fontId="46" fillId="13" borderId="1" xfId="0" applyNumberFormat="1" applyFont="1" applyFill="1" applyBorder="1" applyAlignment="1">
      <alignment vertical="top" wrapText="1"/>
    </xf>
    <xf numFmtId="0" fontId="0" fillId="0" borderId="0" xfId="0" applyAlignment="1">
      <alignment wrapText="1"/>
    </xf>
    <xf numFmtId="0" fontId="7" fillId="11" borderId="9" xfId="0" applyFont="1" applyFill="1" applyBorder="1"/>
    <xf numFmtId="0" fontId="7" fillId="11" borderId="10" xfId="0" applyFont="1" applyFill="1" applyBorder="1"/>
    <xf numFmtId="0" fontId="7" fillId="11" borderId="11" xfId="0" applyFont="1" applyFill="1" applyBorder="1"/>
    <xf numFmtId="0" fontId="28" fillId="0" borderId="0" xfId="0" applyFont="1"/>
    <xf numFmtId="0" fontId="12" fillId="6" borderId="17" xfId="0" applyFont="1" applyFill="1" applyBorder="1" applyAlignment="1">
      <alignment wrapText="1"/>
    </xf>
    <xf numFmtId="0" fontId="12" fillId="6" borderId="0" xfId="0" applyFont="1" applyFill="1" applyAlignment="1">
      <alignment wrapText="1"/>
    </xf>
    <xf numFmtId="0" fontId="12" fillId="6" borderId="7" xfId="0" applyFont="1" applyFill="1" applyBorder="1" applyAlignment="1">
      <alignment wrapText="1"/>
    </xf>
    <xf numFmtId="0" fontId="23" fillId="0" borderId="0" xfId="0" applyFont="1" applyAlignment="1">
      <alignment horizontal="left" vertical="center"/>
    </xf>
    <xf numFmtId="0" fontId="24" fillId="12" borderId="17" xfId="0" applyFont="1" applyFill="1" applyBorder="1" applyAlignment="1">
      <alignment vertical="center" wrapText="1"/>
    </xf>
    <xf numFmtId="44" fontId="24" fillId="12" borderId="0" xfId="0" applyNumberFormat="1" applyFont="1" applyFill="1" applyAlignment="1">
      <alignment vertical="center" wrapText="1"/>
    </xf>
    <xf numFmtId="0" fontId="24" fillId="12" borderId="0" xfId="0" applyFont="1" applyFill="1" applyAlignment="1">
      <alignment vertical="center" wrapText="1"/>
    </xf>
    <xf numFmtId="0" fontId="19" fillId="8" borderId="51" xfId="0" applyFont="1" applyFill="1" applyBorder="1" applyAlignment="1">
      <alignment horizontal="centerContinuous"/>
    </xf>
    <xf numFmtId="0" fontId="20" fillId="8" borderId="68" xfId="0" applyFont="1" applyFill="1" applyBorder="1" applyAlignment="1">
      <alignment horizontal="centerContinuous"/>
    </xf>
    <xf numFmtId="0" fontId="9" fillId="8" borderId="52" xfId="0" applyFont="1" applyFill="1" applyBorder="1" applyAlignment="1">
      <alignment horizontal="centerContinuous"/>
    </xf>
    <xf numFmtId="0" fontId="29" fillId="0" borderId="0" xfId="0" applyFont="1"/>
    <xf numFmtId="0" fontId="24" fillId="12" borderId="53" xfId="0" applyFont="1" applyFill="1" applyBorder="1" applyAlignment="1">
      <alignment vertical="center" wrapText="1"/>
    </xf>
    <xf numFmtId="44" fontId="24" fillId="12" borderId="32" xfId="0" applyNumberFormat="1" applyFont="1" applyFill="1" applyBorder="1" applyAlignment="1">
      <alignment vertical="center" wrapText="1"/>
    </xf>
    <xf numFmtId="0" fontId="24" fillId="12" borderId="32" xfId="0" applyFont="1" applyFill="1" applyBorder="1" applyAlignment="1">
      <alignment vertical="center" wrapText="1"/>
    </xf>
    <xf numFmtId="44" fontId="24" fillId="12" borderId="34" xfId="0" applyNumberFormat="1" applyFont="1" applyFill="1" applyBorder="1" applyAlignment="1">
      <alignment vertical="center" wrapText="1"/>
    </xf>
    <xf numFmtId="0" fontId="24" fillId="13" borderId="12" xfId="0" applyFont="1" applyFill="1" applyBorder="1" applyAlignment="1">
      <alignment horizontal="left" vertical="center" wrapText="1" indent="1"/>
    </xf>
    <xf numFmtId="0" fontId="24" fillId="13" borderId="8" xfId="0" applyFont="1" applyFill="1" applyBorder="1" applyAlignment="1">
      <alignment horizontal="left" vertical="center" wrapText="1" indent="1"/>
    </xf>
    <xf numFmtId="0" fontId="20" fillId="8" borderId="52" xfId="0" applyFont="1" applyFill="1" applyBorder="1" applyAlignment="1">
      <alignment horizontal="centerContinuous"/>
    </xf>
    <xf numFmtId="0" fontId="23" fillId="0" borderId="0" xfId="0" applyFont="1"/>
    <xf numFmtId="44" fontId="24" fillId="12" borderId="7" xfId="0" applyNumberFormat="1" applyFont="1" applyFill="1" applyBorder="1" applyAlignment="1">
      <alignment vertical="center" wrapText="1"/>
    </xf>
    <xf numFmtId="0" fontId="24" fillId="12" borderId="12" xfId="0" applyFont="1" applyFill="1" applyBorder="1" applyAlignment="1">
      <alignment vertical="center" wrapText="1"/>
    </xf>
    <xf numFmtId="0" fontId="24" fillId="12" borderId="8" xfId="0" applyFont="1" applyFill="1" applyBorder="1" applyAlignment="1">
      <alignment vertical="center" wrapText="1"/>
    </xf>
    <xf numFmtId="44" fontId="24" fillId="12" borderId="8" xfId="0" applyNumberFormat="1" applyFont="1" applyFill="1" applyBorder="1" applyAlignment="1">
      <alignment vertical="center" wrapText="1"/>
    </xf>
    <xf numFmtId="0" fontId="25" fillId="2" borderId="80" xfId="0" applyFont="1" applyFill="1" applyBorder="1" applyAlignment="1">
      <alignment horizontal="left" vertical="center" wrapText="1" indent="1"/>
    </xf>
    <xf numFmtId="0" fontId="24" fillId="12" borderId="65" xfId="0" applyFont="1" applyFill="1" applyBorder="1" applyAlignment="1">
      <alignment vertical="center" wrapText="1"/>
    </xf>
    <xf numFmtId="44" fontId="24" fillId="12" borderId="69" xfId="0" applyNumberFormat="1" applyFont="1" applyFill="1" applyBorder="1" applyAlignment="1">
      <alignment vertical="center" wrapText="1"/>
    </xf>
    <xf numFmtId="0" fontId="24" fillId="12" borderId="69" xfId="0" applyFont="1" applyFill="1" applyBorder="1" applyAlignment="1">
      <alignment vertical="center" wrapText="1"/>
    </xf>
    <xf numFmtId="44" fontId="24" fillId="12" borderId="70" xfId="0" applyNumberFormat="1" applyFont="1" applyFill="1" applyBorder="1" applyAlignment="1">
      <alignment vertical="center" wrapText="1"/>
    </xf>
    <xf numFmtId="0" fontId="24" fillId="13" borderId="53" xfId="0" applyFont="1" applyFill="1" applyBorder="1" applyAlignment="1">
      <alignment horizontal="left" vertical="center" wrapText="1" indent="1"/>
    </xf>
    <xf numFmtId="0" fontId="24" fillId="13" borderId="32" xfId="0" applyFont="1" applyFill="1" applyBorder="1" applyAlignment="1">
      <alignment horizontal="left" vertical="center" wrapText="1" indent="1"/>
    </xf>
    <xf numFmtId="0" fontId="25" fillId="13" borderId="54" xfId="0" applyFont="1" applyFill="1" applyBorder="1" applyAlignment="1">
      <alignment horizontal="left" vertical="center" wrapText="1" indent="1"/>
    </xf>
    <xf numFmtId="0" fontId="25" fillId="13" borderId="67" xfId="0" applyFont="1" applyFill="1" applyBorder="1" applyAlignment="1">
      <alignment horizontal="left" vertical="center" wrapText="1" indent="1"/>
    </xf>
    <xf numFmtId="0" fontId="25" fillId="2" borderId="71" xfId="0" applyFont="1" applyFill="1" applyBorder="1" applyAlignment="1">
      <alignment vertical="center" wrapText="1"/>
    </xf>
    <xf numFmtId="0" fontId="20" fillId="8" borderId="10" xfId="0" applyFont="1" applyFill="1" applyBorder="1" applyAlignment="1">
      <alignment horizontal="centerContinuous"/>
    </xf>
    <xf numFmtId="0" fontId="20" fillId="8" borderId="11" xfId="0" applyFont="1" applyFill="1" applyBorder="1" applyAlignment="1">
      <alignment horizontal="centerContinuous"/>
    </xf>
    <xf numFmtId="165" fontId="29" fillId="13" borderId="61" xfId="0" applyNumberFormat="1" applyFont="1" applyFill="1" applyBorder="1" applyAlignment="1">
      <alignment vertical="center" wrapText="1"/>
    </xf>
    <xf numFmtId="165" fontId="29" fillId="13" borderId="61" xfId="0" applyNumberFormat="1" applyFont="1" applyFill="1" applyBorder="1" applyAlignment="1">
      <alignment horizontal="right" vertical="center" wrapText="1"/>
    </xf>
    <xf numFmtId="0" fontId="24" fillId="12" borderId="0" xfId="0" applyFont="1" applyFill="1" applyAlignment="1">
      <alignment horizontal="centerContinuous" vertical="center" wrapText="1"/>
    </xf>
    <xf numFmtId="44" fontId="24" fillId="12" borderId="0" xfId="0" applyNumberFormat="1" applyFont="1" applyFill="1" applyAlignment="1">
      <alignment horizontal="centerContinuous" vertical="center" wrapText="1"/>
    </xf>
    <xf numFmtId="44" fontId="24" fillId="12" borderId="7" xfId="0" applyNumberFormat="1" applyFont="1" applyFill="1" applyBorder="1" applyAlignment="1">
      <alignment horizontal="centerContinuous" vertical="center" wrapText="1"/>
    </xf>
    <xf numFmtId="0" fontId="24" fillId="13" borderId="30" xfId="0" applyFont="1" applyFill="1" applyBorder="1" applyAlignment="1">
      <alignment horizontal="left" vertical="center" wrapText="1" indent="1"/>
    </xf>
    <xf numFmtId="0" fontId="38" fillId="15" borderId="80" xfId="0" applyFont="1" applyFill="1" applyBorder="1" applyAlignment="1">
      <alignment vertical="center" wrapText="1"/>
    </xf>
    <xf numFmtId="165" fontId="38" fillId="15" borderId="81" xfId="0" applyNumberFormat="1" applyFont="1" applyFill="1" applyBorder="1" applyAlignment="1">
      <alignment vertical="center" wrapText="1"/>
    </xf>
    <xf numFmtId="0" fontId="24" fillId="12" borderId="15" xfId="0" applyFont="1" applyFill="1" applyBorder="1" applyAlignment="1">
      <alignment vertical="center" wrapText="1"/>
    </xf>
    <xf numFmtId="44" fontId="24" fillId="12" borderId="15" xfId="0" applyNumberFormat="1" applyFont="1" applyFill="1" applyBorder="1" applyAlignment="1">
      <alignment vertical="center" wrapText="1"/>
    </xf>
    <xf numFmtId="165" fontId="29" fillId="12" borderId="0" xfId="0" applyNumberFormat="1" applyFont="1" applyFill="1" applyAlignment="1">
      <alignment vertical="center" wrapText="1"/>
    </xf>
    <xf numFmtId="0" fontId="25" fillId="2" borderId="89" xfId="0" applyFont="1" applyFill="1" applyBorder="1" applyAlignment="1">
      <alignment horizontal="left" vertical="center" wrapText="1" indent="1"/>
    </xf>
    <xf numFmtId="0" fontId="25" fillId="12" borderId="0" xfId="0" applyFont="1" applyFill="1" applyAlignment="1">
      <alignment vertical="center" wrapText="1"/>
    </xf>
    <xf numFmtId="0" fontId="24" fillId="13" borderId="54" xfId="0" applyFont="1" applyFill="1" applyBorder="1" applyAlignment="1">
      <alignment horizontal="left" vertical="center" wrapText="1" indent="1"/>
    </xf>
    <xf numFmtId="0" fontId="24" fillId="13" borderId="67" xfId="0" applyFont="1" applyFill="1" applyBorder="1" applyAlignment="1">
      <alignment horizontal="left" vertical="center" wrapText="1" indent="1"/>
    </xf>
    <xf numFmtId="165" fontId="29" fillId="12" borderId="8" xfId="0" applyNumberFormat="1" applyFont="1" applyFill="1" applyBorder="1" applyAlignment="1">
      <alignment vertical="center" wrapText="1"/>
    </xf>
    <xf numFmtId="0" fontId="0" fillId="11" borderId="10" xfId="0" applyFill="1" applyBorder="1"/>
    <xf numFmtId="0" fontId="32" fillId="6" borderId="7" xfId="0" applyFont="1" applyFill="1" applyBorder="1" applyAlignment="1">
      <alignment wrapText="1"/>
    </xf>
    <xf numFmtId="0" fontId="10" fillId="12" borderId="6" xfId="0" applyFont="1" applyFill="1" applyBorder="1" applyAlignment="1">
      <alignment horizontal="left" vertical="center" wrapText="1" indent="1"/>
    </xf>
    <xf numFmtId="0" fontId="13" fillId="12" borderId="6" xfId="0" applyFont="1" applyFill="1" applyBorder="1" applyAlignment="1">
      <alignment horizontal="left" vertical="center" wrapText="1" indent="1"/>
    </xf>
    <xf numFmtId="0" fontId="31" fillId="12" borderId="6" xfId="0" applyFont="1" applyFill="1" applyBorder="1" applyAlignment="1">
      <alignment horizontal="left" vertical="center" wrapText="1" indent="1"/>
    </xf>
    <xf numFmtId="0" fontId="9" fillId="8" borderId="11" xfId="0" applyFont="1" applyFill="1" applyBorder="1" applyAlignment="1">
      <alignment horizontal="centerContinuous"/>
    </xf>
    <xf numFmtId="0" fontId="7" fillId="0" borderId="0" xfId="0" applyFont="1" applyAlignment="1">
      <alignment horizontal="center" vertical="center"/>
    </xf>
    <xf numFmtId="0" fontId="21" fillId="8" borderId="17" xfId="0" applyFont="1" applyFill="1" applyBorder="1" applyAlignment="1">
      <alignment horizontal="centerContinuous" vertical="center"/>
    </xf>
    <xf numFmtId="0" fontId="17" fillId="8" borderId="7" xfId="0" applyFont="1" applyFill="1" applyBorder="1" applyAlignment="1">
      <alignment horizontal="centerContinuous" vertical="center"/>
    </xf>
    <xf numFmtId="0" fontId="10" fillId="12" borderId="53" xfId="0" applyFont="1" applyFill="1" applyBorder="1" applyAlignment="1">
      <alignment horizontal="left" vertical="center" wrapText="1" indent="1"/>
    </xf>
    <xf numFmtId="0" fontId="13" fillId="12" borderId="32" xfId="0" applyFont="1" applyFill="1" applyBorder="1" applyAlignment="1">
      <alignment horizontal="left" vertical="center" wrapText="1" indent="1"/>
    </xf>
    <xf numFmtId="0" fontId="10" fillId="12" borderId="32" xfId="0" applyFont="1" applyFill="1" applyBorder="1" applyAlignment="1">
      <alignment horizontal="left" vertical="center" wrapText="1" indent="1"/>
    </xf>
    <xf numFmtId="0" fontId="13" fillId="12" borderId="34" xfId="0" applyFont="1" applyFill="1" applyBorder="1" applyAlignment="1">
      <alignment horizontal="left" vertical="center" wrapText="1" indent="1"/>
    </xf>
    <xf numFmtId="0" fontId="41" fillId="0" borderId="57" xfId="0" applyFont="1" applyBorder="1" applyAlignment="1">
      <alignment horizontal="left" vertical="center" wrapText="1" indent="1"/>
    </xf>
    <xf numFmtId="0" fontId="41" fillId="0" borderId="56" xfId="0" applyFont="1" applyBorder="1" applyAlignment="1">
      <alignment horizontal="left" vertical="center" wrapText="1" indent="1"/>
    </xf>
    <xf numFmtId="0" fontId="10" fillId="12" borderId="17" xfId="0" applyFont="1" applyFill="1" applyBorder="1" applyAlignment="1">
      <alignment horizontal="left" vertical="center" wrapText="1" indent="1"/>
    </xf>
    <xf numFmtId="0" fontId="13" fillId="12" borderId="7" xfId="0" applyFont="1" applyFill="1" applyBorder="1" applyAlignment="1">
      <alignment horizontal="left" vertical="center" wrapText="1" indent="1"/>
    </xf>
    <xf numFmtId="0" fontId="41" fillId="0" borderId="53" xfId="0" applyFont="1" applyBorder="1" applyAlignment="1">
      <alignment horizontal="left" vertical="center" wrapText="1" indent="1"/>
    </xf>
    <xf numFmtId="0" fontId="41" fillId="0" borderId="32" xfId="0" applyFont="1" applyBorder="1" applyAlignment="1">
      <alignment horizontal="left" vertical="center" wrapText="1" indent="1"/>
    </xf>
    <xf numFmtId="0" fontId="7" fillId="12" borderId="7" xfId="0" applyFont="1" applyFill="1" applyBorder="1"/>
    <xf numFmtId="0" fontId="11" fillId="12" borderId="17" xfId="0" applyFont="1" applyFill="1" applyBorder="1" applyAlignment="1">
      <alignment horizontal="left" vertical="center" wrapText="1" indent="1"/>
    </xf>
    <xf numFmtId="0" fontId="24" fillId="0" borderId="65" xfId="0" applyFont="1" applyBorder="1" applyAlignment="1">
      <alignment horizontal="left" vertical="center" wrapText="1" indent="1"/>
    </xf>
    <xf numFmtId="0" fontId="41" fillId="0" borderId="54" xfId="0" applyFont="1" applyBorder="1" applyAlignment="1">
      <alignment horizontal="left" vertical="center" wrapText="1" indent="1"/>
    </xf>
    <xf numFmtId="0" fontId="11" fillId="12" borderId="23" xfId="0" applyFont="1" applyFill="1" applyBorder="1" applyAlignment="1">
      <alignment horizontal="left" vertical="center" wrapText="1" indent="1"/>
    </xf>
    <xf numFmtId="0" fontId="13" fillId="12" borderId="15" xfId="0" applyFont="1" applyFill="1" applyBorder="1" applyAlignment="1">
      <alignment horizontal="left" vertical="center" wrapText="1" indent="1"/>
    </xf>
    <xf numFmtId="0" fontId="10" fillId="12" borderId="15" xfId="0" applyFont="1" applyFill="1" applyBorder="1" applyAlignment="1">
      <alignment horizontal="left" vertical="center" wrapText="1" indent="1"/>
    </xf>
    <xf numFmtId="0" fontId="59" fillId="6" borderId="51" xfId="0" applyFont="1" applyFill="1" applyBorder="1" applyAlignment="1">
      <alignment horizontal="centerContinuous" vertical="center" wrapText="1"/>
    </xf>
    <xf numFmtId="0" fontId="25" fillId="6" borderId="68" xfId="0" applyFont="1" applyFill="1" applyBorder="1" applyAlignment="1">
      <alignment horizontal="centerContinuous" vertical="center" wrapText="1"/>
    </xf>
    <xf numFmtId="0" fontId="24" fillId="6" borderId="68" xfId="0" applyFont="1" applyFill="1" applyBorder="1" applyAlignment="1">
      <alignment horizontal="centerContinuous" vertical="center" wrapText="1"/>
    </xf>
    <xf numFmtId="0" fontId="25" fillId="6" borderId="52" xfId="0" applyFont="1" applyFill="1" applyBorder="1" applyAlignment="1">
      <alignment horizontal="centerContinuous" vertical="center" wrapText="1"/>
    </xf>
    <xf numFmtId="0" fontId="11" fillId="12" borderId="53" xfId="0" applyFont="1" applyFill="1" applyBorder="1" applyAlignment="1">
      <alignment horizontal="left" vertical="center" wrapText="1" indent="1"/>
    </xf>
    <xf numFmtId="0" fontId="24" fillId="0" borderId="53" xfId="0" applyFont="1" applyBorder="1" applyAlignment="1">
      <alignment horizontal="left" vertical="center" wrapText="1" indent="1"/>
    </xf>
    <xf numFmtId="0" fontId="24" fillId="0" borderId="32" xfId="0" applyFont="1" applyBorder="1" applyAlignment="1">
      <alignment horizontal="left" vertical="center" wrapText="1" indent="1"/>
    </xf>
    <xf numFmtId="164" fontId="7" fillId="0" borderId="0" xfId="0" applyNumberFormat="1" applyFont="1"/>
    <xf numFmtId="0" fontId="16" fillId="8" borderId="0" xfId="0" applyFont="1" applyFill="1" applyAlignment="1">
      <alignment horizontal="centerContinuous" vertical="center"/>
    </xf>
    <xf numFmtId="0" fontId="16" fillId="8" borderId="0" xfId="0" applyFont="1" applyFill="1" applyAlignment="1">
      <alignment horizontal="centerContinuous"/>
    </xf>
    <xf numFmtId="0" fontId="16" fillId="8" borderId="7" xfId="0" applyFont="1" applyFill="1" applyBorder="1" applyAlignment="1">
      <alignment horizontal="centerContinuous" vertical="center"/>
    </xf>
    <xf numFmtId="0" fontId="21" fillId="8" borderId="65" xfId="0" applyFont="1" applyFill="1" applyBorder="1" applyAlignment="1">
      <alignment horizontal="centerContinuous" vertical="center" wrapText="1"/>
    </xf>
    <xf numFmtId="0" fontId="17" fillId="8" borderId="69" xfId="0" applyFont="1" applyFill="1" applyBorder="1" applyAlignment="1">
      <alignment horizontal="centerContinuous" vertical="center"/>
    </xf>
    <xf numFmtId="0" fontId="17" fillId="8" borderId="70" xfId="0" applyFont="1" applyFill="1" applyBorder="1" applyAlignment="1">
      <alignment horizontal="centerContinuous" vertical="center"/>
    </xf>
    <xf numFmtId="0" fontId="24" fillId="0" borderId="54" xfId="0" applyFont="1" applyBorder="1" applyAlignment="1">
      <alignment horizontal="left" vertical="center" wrapText="1" indent="1"/>
    </xf>
    <xf numFmtId="0" fontId="24" fillId="0" borderId="67" xfId="0" applyFont="1" applyBorder="1" applyAlignment="1">
      <alignment horizontal="left" vertical="center" wrapText="1" indent="1"/>
    </xf>
    <xf numFmtId="0" fontId="11" fillId="12" borderId="22" xfId="0" applyFont="1" applyFill="1" applyBorder="1" applyAlignment="1">
      <alignment horizontal="left" vertical="center" wrapText="1" indent="1"/>
    </xf>
    <xf numFmtId="0" fontId="58" fillId="0" borderId="0" xfId="0" applyFont="1"/>
    <xf numFmtId="0" fontId="37" fillId="8" borderId="0" xfId="0" applyFont="1" applyFill="1" applyAlignment="1">
      <alignment horizontal="centerContinuous" vertical="center"/>
    </xf>
    <xf numFmtId="0" fontId="37" fillId="8" borderId="7" xfId="0" applyFont="1" applyFill="1" applyBorder="1" applyAlignment="1">
      <alignment horizontal="centerContinuous" vertical="center"/>
    </xf>
    <xf numFmtId="0" fontId="22" fillId="8" borderId="69" xfId="0" applyFont="1" applyFill="1" applyBorder="1" applyAlignment="1">
      <alignment horizontal="centerContinuous" vertical="center"/>
    </xf>
    <xf numFmtId="0" fontId="22" fillId="8" borderId="70" xfId="0" applyFont="1" applyFill="1" applyBorder="1" applyAlignment="1">
      <alignment horizontal="centerContinuous" vertical="center"/>
    </xf>
    <xf numFmtId="0" fontId="11" fillId="12" borderId="74" xfId="0" applyFont="1" applyFill="1" applyBorder="1" applyAlignment="1">
      <alignment horizontal="left" vertical="center" wrapText="1" indent="1"/>
    </xf>
    <xf numFmtId="0" fontId="13" fillId="12" borderId="75" xfId="0" applyFont="1" applyFill="1" applyBorder="1" applyAlignment="1">
      <alignment horizontal="left" vertical="center" wrapText="1" indent="1"/>
    </xf>
    <xf numFmtId="0" fontId="10" fillId="12" borderId="75" xfId="0" applyFont="1" applyFill="1" applyBorder="1" applyAlignment="1">
      <alignment horizontal="left" vertical="center" wrapText="1" indent="1"/>
    </xf>
    <xf numFmtId="0" fontId="24" fillId="0" borderId="69" xfId="0" applyFont="1" applyBorder="1" applyAlignment="1">
      <alignment horizontal="left" vertical="center" wrapText="1" indent="1"/>
    </xf>
    <xf numFmtId="0" fontId="24" fillId="0" borderId="30" xfId="0" applyFont="1" applyBorder="1" applyAlignment="1">
      <alignment horizontal="left" vertical="center" wrapText="1" indent="1"/>
    </xf>
    <xf numFmtId="0" fontId="19" fillId="8" borderId="62" xfId="0" applyFont="1" applyFill="1" applyBorder="1" applyAlignment="1">
      <alignment horizontal="centerContinuous"/>
    </xf>
    <xf numFmtId="0" fontId="37" fillId="8" borderId="78" xfId="0" applyFont="1" applyFill="1" applyBorder="1" applyAlignment="1">
      <alignment horizontal="centerContinuous" vertical="center"/>
    </xf>
    <xf numFmtId="0" fontId="37" fillId="8" borderId="79" xfId="0" applyFont="1" applyFill="1" applyBorder="1" applyAlignment="1">
      <alignment horizontal="centerContinuous" vertical="center"/>
    </xf>
    <xf numFmtId="0" fontId="24" fillId="12" borderId="53" xfId="0" applyFont="1" applyFill="1" applyBorder="1" applyAlignment="1">
      <alignment horizontal="left" vertical="center" wrapText="1" indent="1"/>
    </xf>
    <xf numFmtId="0" fontId="24" fillId="12" borderId="32" xfId="0" applyFont="1" applyFill="1" applyBorder="1" applyAlignment="1">
      <alignment horizontal="right" vertical="center" wrapText="1" indent="1"/>
    </xf>
    <xf numFmtId="0" fontId="24" fillId="12" borderId="30" xfId="0" applyFont="1" applyFill="1" applyBorder="1" applyAlignment="1">
      <alignment horizontal="left" vertical="center" wrapText="1" indent="1"/>
    </xf>
    <xf numFmtId="0" fontId="24" fillId="12" borderId="77" xfId="0" applyFont="1" applyFill="1" applyBorder="1" applyAlignment="1">
      <alignment horizontal="right" vertical="center" wrapText="1" indent="1"/>
    </xf>
    <xf numFmtId="0" fontId="24" fillId="12" borderId="34" xfId="0" applyFont="1" applyFill="1" applyBorder="1" applyAlignment="1">
      <alignment horizontal="right" vertical="center" wrapText="1" indent="1"/>
    </xf>
    <xf numFmtId="0" fontId="24" fillId="0" borderId="82" xfId="0" applyFont="1" applyBorder="1" applyAlignment="1">
      <alignment horizontal="left" vertical="center" wrapText="1" indent="1"/>
    </xf>
    <xf numFmtId="0" fontId="24" fillId="0" borderId="83" xfId="0" applyFont="1" applyBorder="1" applyAlignment="1">
      <alignment horizontal="left" vertical="center" wrapText="1" indent="1"/>
    </xf>
    <xf numFmtId="0" fontId="24" fillId="12" borderId="17" xfId="0" applyFont="1" applyFill="1" applyBorder="1" applyAlignment="1">
      <alignment horizontal="left" vertical="center" wrapText="1" indent="1"/>
    </xf>
    <xf numFmtId="0" fontId="24" fillId="12" borderId="0" xfId="0" applyFont="1" applyFill="1" applyAlignment="1">
      <alignment horizontal="left" vertical="center" wrapText="1" indent="1"/>
    </xf>
    <xf numFmtId="0" fontId="24" fillId="0" borderId="24" xfId="0" applyFont="1" applyBorder="1" applyAlignment="1">
      <alignment horizontal="left" vertical="center" wrapText="1" indent="1"/>
    </xf>
    <xf numFmtId="0" fontId="24" fillId="0" borderId="84" xfId="0" applyFont="1" applyBorder="1" applyAlignment="1">
      <alignment horizontal="left" vertical="center" wrapText="1" indent="1"/>
    </xf>
    <xf numFmtId="0" fontId="16" fillId="8" borderId="78" xfId="0" applyFont="1" applyFill="1" applyBorder="1" applyAlignment="1">
      <alignment horizontal="centerContinuous" vertical="center"/>
    </xf>
    <xf numFmtId="0" fontId="16" fillId="8" borderId="78" xfId="0" applyFont="1" applyFill="1" applyBorder="1" applyAlignment="1">
      <alignment horizontal="centerContinuous"/>
    </xf>
    <xf numFmtId="0" fontId="16" fillId="8" borderId="79" xfId="0" applyFont="1" applyFill="1" applyBorder="1" applyAlignment="1">
      <alignment horizontal="centerContinuous" vertical="center"/>
    </xf>
    <xf numFmtId="0" fontId="21" fillId="8" borderId="65" xfId="0" applyFont="1" applyFill="1" applyBorder="1" applyAlignment="1">
      <alignment horizontal="centerContinuous" vertical="center"/>
    </xf>
    <xf numFmtId="0" fontId="2" fillId="0" borderId="0" xfId="0" applyFont="1"/>
    <xf numFmtId="0" fontId="24" fillId="0" borderId="80" xfId="0" applyFont="1" applyBorder="1" applyAlignment="1">
      <alignment horizontal="left" vertical="center" wrapText="1" indent="1"/>
    </xf>
    <xf numFmtId="0" fontId="29" fillId="12" borderId="8" xfId="0" applyFont="1" applyFill="1" applyBorder="1" applyAlignment="1">
      <alignment horizontal="centerContinuous" vertical="center" wrapText="1"/>
    </xf>
    <xf numFmtId="0" fontId="10" fillId="12" borderId="13" xfId="0" applyFont="1" applyFill="1" applyBorder="1" applyAlignment="1">
      <alignment horizontal="centerContinuous" vertical="center" wrapText="1"/>
    </xf>
    <xf numFmtId="0" fontId="24" fillId="12" borderId="53" xfId="0" applyFont="1" applyFill="1" applyBorder="1" applyAlignment="1">
      <alignment horizontal="centerContinuous" vertical="center" wrapText="1"/>
    </xf>
    <xf numFmtId="0" fontId="24" fillId="12" borderId="32" xfId="0" applyFont="1" applyFill="1" applyBorder="1" applyAlignment="1">
      <alignment horizontal="centerContinuous" vertical="center" wrapText="1"/>
    </xf>
    <xf numFmtId="0" fontId="24" fillId="0" borderId="59" xfId="0" applyFont="1" applyBorder="1" applyAlignment="1">
      <alignment horizontal="left" vertical="center" wrapText="1" indent="1"/>
    </xf>
    <xf numFmtId="0" fontId="24" fillId="12" borderId="32" xfId="0" applyFont="1" applyFill="1" applyBorder="1" applyAlignment="1">
      <alignment horizontal="left" vertical="center" wrapText="1" indent="1"/>
    </xf>
    <xf numFmtId="0" fontId="47" fillId="0" borderId="0" xfId="0" applyFont="1"/>
    <xf numFmtId="0" fontId="25" fillId="13" borderId="32" xfId="0" applyFont="1" applyFill="1" applyBorder="1" applyAlignment="1">
      <alignment horizontal="left" vertical="center" wrapText="1" indent="1"/>
    </xf>
    <xf numFmtId="0" fontId="25" fillId="13" borderId="8" xfId="0" applyFont="1" applyFill="1" applyBorder="1" applyAlignment="1">
      <alignment horizontal="left" vertical="center" wrapText="1" indent="1"/>
    </xf>
    <xf numFmtId="0" fontId="24" fillId="12" borderId="18" xfId="0" applyFont="1" applyFill="1" applyBorder="1" applyAlignment="1">
      <alignment horizontal="left" vertical="center" wrapText="1" indent="1"/>
    </xf>
    <xf numFmtId="0" fontId="24" fillId="12" borderId="14" xfId="0" applyFont="1" applyFill="1" applyBorder="1" applyAlignment="1">
      <alignment horizontal="left" vertical="center" wrapText="1" indent="1"/>
    </xf>
    <xf numFmtId="0" fontId="24" fillId="12" borderId="15" xfId="0" applyFont="1" applyFill="1" applyBorder="1" applyAlignment="1">
      <alignment horizontal="left" vertical="center" wrapText="1" indent="1"/>
    </xf>
    <xf numFmtId="0" fontId="25" fillId="13" borderId="12" xfId="0" applyFont="1" applyFill="1" applyBorder="1" applyAlignment="1">
      <alignment horizontal="left" vertical="center" wrapText="1" indent="1"/>
    </xf>
    <xf numFmtId="0" fontId="25" fillId="13" borderId="85" xfId="0" applyFont="1" applyFill="1" applyBorder="1" applyAlignment="1">
      <alignment horizontal="left" vertical="center" wrapText="1" indent="1"/>
    </xf>
    <xf numFmtId="1" fontId="29" fillId="13" borderId="72" xfId="0" applyNumberFormat="1" applyFont="1" applyFill="1" applyBorder="1" applyAlignment="1">
      <alignment horizontal="right" vertical="center" wrapText="1" indent="1"/>
    </xf>
    <xf numFmtId="0" fontId="38" fillId="15" borderId="8" xfId="0" applyFont="1" applyFill="1" applyBorder="1" applyAlignment="1">
      <alignment horizontal="left" vertical="center" wrapText="1" indent="1"/>
    </xf>
    <xf numFmtId="165" fontId="38" fillId="15" borderId="13" xfId="0" applyNumberFormat="1" applyFont="1" applyFill="1" applyBorder="1" applyAlignment="1">
      <alignment horizontal="left" vertical="center" wrapText="1" indent="1"/>
    </xf>
    <xf numFmtId="0" fontId="14" fillId="12" borderId="0" xfId="0" applyFont="1" applyFill="1" applyAlignment="1">
      <alignment horizontal="left" vertical="center" wrapText="1" indent="1"/>
    </xf>
    <xf numFmtId="0" fontId="15" fillId="12" borderId="0" xfId="0" applyFont="1" applyFill="1" applyAlignment="1">
      <alignment horizontal="left" vertical="center" wrapText="1" indent="1"/>
    </xf>
    <xf numFmtId="1" fontId="15" fillId="12" borderId="0" xfId="0" applyNumberFormat="1" applyFont="1" applyFill="1" applyAlignment="1">
      <alignment horizontal="left" vertical="center" wrapText="1" indent="1"/>
    </xf>
    <xf numFmtId="44" fontId="15" fillId="12" borderId="0" xfId="0" applyNumberFormat="1" applyFont="1" applyFill="1" applyAlignment="1">
      <alignment horizontal="left" vertical="center" wrapText="1" indent="1"/>
    </xf>
    <xf numFmtId="0" fontId="30" fillId="0" borderId="0" xfId="0" applyFont="1"/>
    <xf numFmtId="0" fontId="0" fillId="6" borderId="0" xfId="0" applyFill="1"/>
    <xf numFmtId="0" fontId="0" fillId="0" borderId="0" xfId="0" applyAlignment="1">
      <alignment vertical="top"/>
    </xf>
    <xf numFmtId="0" fontId="44" fillId="7" borderId="49" xfId="0" applyFont="1" applyFill="1" applyBorder="1" applyAlignment="1">
      <alignment horizontal="left" vertical="center" wrapText="1" indent="1"/>
    </xf>
    <xf numFmtId="0" fontId="29" fillId="13" borderId="43" xfId="0" applyFont="1" applyFill="1" applyBorder="1" applyAlignment="1">
      <alignment vertical="center" wrapText="1"/>
    </xf>
    <xf numFmtId="0" fontId="44" fillId="7" borderId="43" xfId="0" applyFont="1" applyFill="1" applyBorder="1" applyAlignment="1">
      <alignment horizontal="left" vertical="center" wrapText="1" indent="1"/>
    </xf>
    <xf numFmtId="0" fontId="21" fillId="8" borderId="45" xfId="0" quotePrefix="1" applyFont="1" applyFill="1" applyBorder="1" applyAlignment="1">
      <alignment horizontal="centerContinuous" vertical="center" wrapText="1"/>
    </xf>
    <xf numFmtId="0" fontId="20" fillId="8" borderId="46" xfId="0" quotePrefix="1" applyFont="1" applyFill="1" applyBorder="1" applyAlignment="1">
      <alignment horizontal="centerContinuous" vertical="center"/>
    </xf>
    <xf numFmtId="0" fontId="20" fillId="8" borderId="47" xfId="0" quotePrefix="1" applyFont="1" applyFill="1" applyBorder="1" applyAlignment="1">
      <alignment horizontal="centerContinuous" vertical="center"/>
    </xf>
    <xf numFmtId="0" fontId="35" fillId="14" borderId="24" xfId="0" applyFont="1" applyFill="1" applyBorder="1" applyAlignment="1">
      <alignment horizontal="centerContinuous" vertical="center" wrapText="1"/>
    </xf>
    <xf numFmtId="0" fontId="35" fillId="14" borderId="26" xfId="0" applyFont="1" applyFill="1" applyBorder="1" applyAlignment="1">
      <alignment horizontal="centerContinuous" vertical="center" wrapText="1"/>
    </xf>
    <xf numFmtId="0" fontId="35" fillId="14" borderId="28" xfId="0" applyFont="1" applyFill="1" applyBorder="1" applyAlignment="1">
      <alignment horizontal="centerContinuous" vertical="center" wrapText="1"/>
    </xf>
    <xf numFmtId="0" fontId="35" fillId="14" borderId="29" xfId="0" applyFont="1" applyFill="1" applyBorder="1" applyAlignment="1">
      <alignment horizontal="centerContinuous" vertical="center" wrapText="1"/>
    </xf>
    <xf numFmtId="0" fontId="35" fillId="14" borderId="31" xfId="0" applyFont="1" applyFill="1" applyBorder="1" applyAlignment="1">
      <alignment horizontal="centerContinuous" vertical="center"/>
    </xf>
    <xf numFmtId="0" fontId="10" fillId="12" borderId="10" xfId="0" applyFont="1" applyFill="1" applyBorder="1" applyAlignment="1">
      <alignment horizontal="left" vertical="center" wrapText="1" indent="1"/>
    </xf>
    <xf numFmtId="0" fontId="10" fillId="12" borderId="11" xfId="0" applyFont="1" applyFill="1" applyBorder="1" applyAlignment="1">
      <alignment horizontal="left" vertical="center" wrapText="1" indent="1"/>
    </xf>
    <xf numFmtId="0" fontId="35" fillId="14" borderId="24" xfId="0" applyFont="1" applyFill="1" applyBorder="1" applyAlignment="1">
      <alignment horizontal="left" vertical="center" wrapText="1"/>
    </xf>
    <xf numFmtId="0" fontId="35" fillId="14" borderId="26" xfId="0" applyFont="1" applyFill="1" applyBorder="1" applyAlignment="1">
      <alignment horizontal="center" vertical="center" wrapText="1"/>
    </xf>
    <xf numFmtId="0" fontId="35" fillId="14" borderId="91" xfId="0" applyFont="1" applyFill="1" applyBorder="1" applyAlignment="1">
      <alignment horizontal="left" vertical="center" wrapText="1"/>
    </xf>
    <xf numFmtId="0" fontId="35" fillId="14" borderId="92" xfId="0" applyFont="1" applyFill="1" applyBorder="1" applyAlignment="1">
      <alignment horizontal="center" vertical="center" wrapText="1"/>
    </xf>
    <xf numFmtId="0" fontId="10" fillId="12" borderId="7" xfId="0" applyFont="1" applyFill="1" applyBorder="1" applyAlignment="1">
      <alignment horizontal="left" vertical="center" wrapText="1" indent="1"/>
    </xf>
    <xf numFmtId="0" fontId="10" fillId="12" borderId="8" xfId="0" applyFont="1" applyFill="1" applyBorder="1" applyAlignment="1">
      <alignment horizontal="left" vertical="center" wrapText="1" indent="1"/>
    </xf>
    <xf numFmtId="0" fontId="10" fillId="12" borderId="13" xfId="0" applyFont="1" applyFill="1" applyBorder="1" applyAlignment="1">
      <alignment horizontal="left" vertical="center" wrapText="1" indent="1"/>
    </xf>
    <xf numFmtId="0" fontId="21" fillId="6" borderId="65" xfId="0" applyFont="1" applyFill="1" applyBorder="1" applyAlignment="1">
      <alignment horizontal="centerContinuous" vertical="top"/>
    </xf>
    <xf numFmtId="0" fontId="21" fillId="6" borderId="69" xfId="0" applyFont="1" applyFill="1" applyBorder="1" applyAlignment="1">
      <alignment horizontal="centerContinuous" vertical="top"/>
    </xf>
    <xf numFmtId="0" fontId="21" fillId="6" borderId="70" xfId="0" applyFont="1" applyFill="1" applyBorder="1" applyAlignment="1">
      <alignment horizontal="centerContinuous" vertical="top"/>
    </xf>
    <xf numFmtId="0" fontId="59" fillId="6" borderId="10" xfId="0" applyFont="1" applyFill="1" applyBorder="1" applyAlignment="1">
      <alignment horizontal="centerContinuous" vertical="center" wrapText="1"/>
    </xf>
    <xf numFmtId="0" fontId="59" fillId="6" borderId="11" xfId="0" applyFont="1" applyFill="1" applyBorder="1" applyAlignment="1">
      <alignment horizontal="centerContinuous" vertical="center" wrapText="1"/>
    </xf>
    <xf numFmtId="0" fontId="19" fillId="8" borderId="9" xfId="0" applyFont="1" applyFill="1" applyBorder="1" applyAlignment="1">
      <alignment horizontal="centerContinuous"/>
    </xf>
    <xf numFmtId="0" fontId="22" fillId="8" borderId="0" xfId="0" applyFont="1" applyFill="1" applyAlignment="1">
      <alignment horizontal="centerContinuous" vertical="center"/>
    </xf>
    <xf numFmtId="0" fontId="59" fillId="6" borderId="9" xfId="0" applyFont="1" applyFill="1" applyBorder="1" applyAlignment="1">
      <alignment horizontal="centerContinuous" vertical="center" wrapText="1"/>
    </xf>
    <xf numFmtId="0" fontId="25" fillId="6" borderId="10" xfId="0" applyFont="1" applyFill="1" applyBorder="1" applyAlignment="1">
      <alignment horizontal="centerContinuous" vertical="center" wrapText="1"/>
    </xf>
    <xf numFmtId="0" fontId="24" fillId="6" borderId="10" xfId="0" applyFont="1" applyFill="1" applyBorder="1" applyAlignment="1">
      <alignment horizontal="centerContinuous" vertical="center" wrapText="1"/>
    </xf>
    <xf numFmtId="0" fontId="25" fillId="6" borderId="11" xfId="0" applyFont="1" applyFill="1" applyBorder="1" applyAlignment="1">
      <alignment horizontal="centerContinuous" vertical="center" wrapText="1"/>
    </xf>
    <xf numFmtId="0" fontId="10" fillId="0" borderId="0" xfId="0" applyFont="1" applyAlignment="1">
      <alignment wrapText="1"/>
    </xf>
    <xf numFmtId="0" fontId="35" fillId="14" borderId="53" xfId="0" applyFont="1" applyFill="1" applyBorder="1" applyAlignment="1">
      <alignment horizontal="left" vertical="center" wrapText="1" indent="1"/>
    </xf>
    <xf numFmtId="0" fontId="35" fillId="14" borderId="34" xfId="0" applyFont="1" applyFill="1" applyBorder="1" applyAlignment="1">
      <alignment horizontal="left" vertical="center" indent="1"/>
    </xf>
    <xf numFmtId="0" fontId="34" fillId="0" borderId="53" xfId="0" applyFont="1" applyBorder="1" applyAlignment="1">
      <alignment horizontal="left" vertical="top" wrapText="1" indent="1"/>
    </xf>
    <xf numFmtId="0" fontId="34" fillId="0" borderId="34" xfId="0" applyFont="1" applyBorder="1" applyAlignment="1">
      <alignment horizontal="left" vertical="top" wrapText="1" indent="1"/>
    </xf>
    <xf numFmtId="0" fontId="34" fillId="0" borderId="54" xfId="0" applyFont="1" applyBorder="1" applyAlignment="1">
      <alignment horizontal="left" vertical="top" wrapText="1" indent="1"/>
    </xf>
    <xf numFmtId="0" fontId="34" fillId="0" borderId="55" xfId="0" applyFont="1" applyBorder="1" applyAlignment="1">
      <alignment horizontal="left" vertical="top" wrapText="1" indent="1"/>
    </xf>
    <xf numFmtId="0" fontId="8" fillId="3" borderId="2" xfId="0" applyFont="1" applyFill="1" applyBorder="1" applyAlignment="1">
      <alignment vertical="top" wrapText="1"/>
    </xf>
    <xf numFmtId="0" fontId="8" fillId="3" borderId="3" xfId="0" applyFont="1" applyFill="1" applyBorder="1" applyAlignment="1">
      <alignment vertical="top" wrapText="1"/>
    </xf>
    <xf numFmtId="0" fontId="8" fillId="3" borderId="4" xfId="0" applyFont="1" applyFill="1" applyBorder="1" applyAlignment="1">
      <alignment vertical="top" wrapText="1"/>
    </xf>
    <xf numFmtId="0" fontId="33" fillId="7" borderId="12" xfId="0" applyFont="1" applyFill="1" applyBorder="1" applyAlignment="1">
      <alignment horizontal="left" wrapText="1" indent="1"/>
    </xf>
    <xf numFmtId="0" fontId="33" fillId="7" borderId="13" xfId="0" applyFont="1" applyFill="1" applyBorder="1" applyAlignment="1">
      <alignment horizontal="left" wrapText="1" indent="1"/>
    </xf>
    <xf numFmtId="0" fontId="18" fillId="7" borderId="17" xfId="0" applyFont="1" applyFill="1" applyBorder="1" applyAlignment="1">
      <alignment horizontal="center" vertical="center"/>
    </xf>
    <xf numFmtId="0" fontId="18" fillId="7" borderId="7" xfId="0" applyFont="1" applyFill="1" applyBorder="1" applyAlignment="1">
      <alignment horizontal="center" vertical="center"/>
    </xf>
    <xf numFmtId="0" fontId="25" fillId="8" borderId="51" xfId="0" quotePrefix="1" applyFont="1" applyFill="1" applyBorder="1" applyAlignment="1">
      <alignment horizontal="center" vertical="center"/>
    </xf>
    <xf numFmtId="0" fontId="25" fillId="8" borderId="52" xfId="0" quotePrefix="1" applyFont="1" applyFill="1" applyBorder="1" applyAlignment="1">
      <alignment horizontal="center" vertical="center"/>
    </xf>
    <xf numFmtId="0" fontId="25" fillId="8" borderId="52" xfId="0" applyFont="1" applyFill="1" applyBorder="1" applyAlignment="1">
      <alignment horizontal="center" vertical="center"/>
    </xf>
    <xf numFmtId="0" fontId="14" fillId="13" borderId="54" xfId="0" applyFont="1" applyFill="1" applyBorder="1" applyAlignment="1">
      <alignment horizontal="center" vertical="center" wrapText="1"/>
    </xf>
    <xf numFmtId="0" fontId="14" fillId="13" borderId="67" xfId="0" applyFont="1" applyFill="1" applyBorder="1" applyAlignment="1">
      <alignment horizontal="center" vertical="center" wrapText="1"/>
    </xf>
    <xf numFmtId="0" fontId="14" fillId="13" borderId="81" xfId="0" applyFont="1" applyFill="1" applyBorder="1" applyAlignment="1">
      <alignment horizontal="center" vertical="center" wrapText="1"/>
    </xf>
    <xf numFmtId="0" fontId="29" fillId="12" borderId="97" xfId="0" applyFont="1" applyFill="1" applyBorder="1" applyAlignment="1">
      <alignment horizontal="center" vertical="center" wrapText="1"/>
    </xf>
    <xf numFmtId="0" fontId="29" fillId="12" borderId="7" xfId="0" applyFont="1" applyFill="1" applyBorder="1" applyAlignment="1">
      <alignment horizontal="center" vertical="center" wrapText="1"/>
    </xf>
    <xf numFmtId="0" fontId="18" fillId="7" borderId="12" xfId="0" applyFont="1" applyFill="1" applyBorder="1" applyAlignment="1">
      <alignment horizontal="center" vertical="center" wrapText="1"/>
    </xf>
    <xf numFmtId="0" fontId="18" fillId="7" borderId="8" xfId="0" applyFont="1" applyFill="1" applyBorder="1" applyAlignment="1">
      <alignment horizontal="center" vertical="center"/>
    </xf>
    <xf numFmtId="0" fontId="18" fillId="7" borderId="13" xfId="0" applyFont="1" applyFill="1" applyBorder="1" applyAlignment="1">
      <alignment horizontal="center" vertical="center"/>
    </xf>
    <xf numFmtId="0" fontId="14" fillId="13" borderId="53" xfId="0" applyFont="1" applyFill="1" applyBorder="1" applyAlignment="1">
      <alignment horizontal="center" vertical="center" wrapText="1"/>
    </xf>
    <xf numFmtId="0" fontId="14" fillId="13" borderId="32" xfId="0" applyFont="1" applyFill="1" applyBorder="1" applyAlignment="1">
      <alignment horizontal="center" vertical="center" wrapText="1"/>
    </xf>
    <xf numFmtId="0" fontId="14" fillId="13" borderId="77" xfId="0" applyFont="1" applyFill="1" applyBorder="1" applyAlignment="1">
      <alignment horizontal="center" vertical="center" wrapText="1"/>
    </xf>
    <xf numFmtId="0" fontId="13" fillId="5" borderId="67" xfId="0" applyFont="1" applyFill="1" applyBorder="1" applyAlignment="1" applyProtection="1">
      <alignment horizontal="left" vertical="center" wrapText="1"/>
      <protection locked="0"/>
    </xf>
    <xf numFmtId="0" fontId="13" fillId="5" borderId="55" xfId="0" applyFont="1" applyFill="1" applyBorder="1" applyAlignment="1" applyProtection="1">
      <alignment horizontal="left" vertical="center" wrapText="1"/>
      <protection locked="0"/>
    </xf>
    <xf numFmtId="0" fontId="41" fillId="0" borderId="62" xfId="0" applyFont="1" applyBorder="1" applyAlignment="1">
      <alignment horizontal="left" vertical="center" wrapText="1" indent="1"/>
    </xf>
    <xf numFmtId="0" fontId="24" fillId="0" borderId="17" xfId="0" applyFont="1" applyBorder="1" applyAlignment="1">
      <alignment horizontal="left" vertical="center" wrapText="1" indent="1"/>
    </xf>
    <xf numFmtId="0" fontId="24" fillId="0" borderId="65" xfId="0" applyFont="1" applyBorder="1" applyAlignment="1">
      <alignment horizontal="left" vertical="center" wrapText="1" indent="1"/>
    </xf>
    <xf numFmtId="0" fontId="13" fillId="5" borderId="63" xfId="0" applyFont="1" applyFill="1" applyBorder="1" applyAlignment="1" applyProtection="1">
      <alignment horizontal="left" vertical="center" wrapText="1" indent="1"/>
      <protection locked="0"/>
    </xf>
    <xf numFmtId="0" fontId="13" fillId="5" borderId="64" xfId="0" applyFont="1" applyFill="1" applyBorder="1" applyAlignment="1" applyProtection="1">
      <alignment horizontal="left" vertical="center" wrapText="1" indent="1"/>
      <protection locked="0"/>
    </xf>
    <xf numFmtId="0" fontId="13" fillId="5" borderId="66" xfId="0" applyFont="1" applyFill="1" applyBorder="1" applyAlignment="1" applyProtection="1">
      <alignment horizontal="left" vertical="center" wrapText="1" indent="1"/>
      <protection locked="0"/>
    </xf>
    <xf numFmtId="0" fontId="13" fillId="0" borderId="24" xfId="0" applyFont="1" applyBorder="1" applyAlignment="1" applyProtection="1">
      <alignment horizontal="left" vertical="center" wrapText="1"/>
      <protection locked="0"/>
    </xf>
    <xf numFmtId="0" fontId="13" fillId="0" borderId="26" xfId="0" applyFont="1" applyBorder="1" applyAlignment="1" applyProtection="1">
      <alignment horizontal="left" vertical="center" wrapText="1"/>
      <protection locked="0"/>
    </xf>
    <xf numFmtId="0" fontId="18" fillId="7" borderId="0" xfId="0" applyFont="1" applyFill="1" applyAlignment="1">
      <alignment horizontal="center" vertical="center"/>
    </xf>
    <xf numFmtId="0" fontId="60" fillId="7" borderId="12" xfId="0" applyFont="1" applyFill="1" applyBorder="1" applyAlignment="1">
      <alignment horizontal="center" vertical="top" wrapText="1"/>
    </xf>
    <xf numFmtId="0" fontId="60" fillId="7" borderId="8" xfId="0" applyFont="1" applyFill="1" applyBorder="1" applyAlignment="1">
      <alignment horizontal="center" vertical="top" wrapText="1"/>
    </xf>
    <xf numFmtId="0" fontId="60" fillId="7" borderId="13" xfId="0" applyFont="1" applyFill="1" applyBorder="1" applyAlignment="1">
      <alignment horizontal="center" vertical="top" wrapText="1"/>
    </xf>
    <xf numFmtId="0" fontId="20" fillId="8" borderId="9" xfId="1" quotePrefix="1" applyFont="1" applyFill="1" applyBorder="1" applyAlignment="1">
      <alignment horizontal="center" vertical="center"/>
    </xf>
    <xf numFmtId="0" fontId="20" fillId="8" borderId="10" xfId="1" quotePrefix="1" applyFont="1" applyFill="1" applyBorder="1" applyAlignment="1">
      <alignment horizontal="center" vertical="center"/>
    </xf>
    <xf numFmtId="0" fontId="20" fillId="8" borderId="11" xfId="1" quotePrefix="1" applyFont="1" applyFill="1" applyBorder="1" applyAlignment="1">
      <alignment horizontal="center" vertical="center"/>
    </xf>
    <xf numFmtId="44" fontId="13" fillId="0" borderId="32" xfId="0" applyNumberFormat="1" applyFont="1" applyBorder="1" applyAlignment="1" applyProtection="1">
      <alignment horizontal="center" vertical="center"/>
      <protection locked="0"/>
    </xf>
    <xf numFmtId="0" fontId="13" fillId="0" borderId="32" xfId="0" applyFont="1" applyBorder="1" applyAlignment="1" applyProtection="1">
      <alignment vertical="center"/>
      <protection locked="0"/>
    </xf>
    <xf numFmtId="166" fontId="29" fillId="13" borderId="30" xfId="0" applyNumberFormat="1" applyFont="1" applyFill="1" applyBorder="1" applyAlignment="1">
      <alignment horizontal="center" vertical="center"/>
    </xf>
    <xf numFmtId="0" fontId="29" fillId="13" borderId="34" xfId="0" applyFont="1" applyFill="1" applyBorder="1" applyAlignment="1">
      <alignment vertical="center"/>
    </xf>
    <xf numFmtId="0" fontId="29" fillId="13" borderId="43" xfId="0" applyFont="1" applyFill="1" applyBorder="1" applyAlignment="1">
      <alignment horizontal="left" vertical="center" wrapText="1"/>
    </xf>
    <xf numFmtId="0" fontId="29" fillId="13" borderId="40" xfId="0" applyFont="1" applyFill="1" applyBorder="1" applyAlignment="1">
      <alignment horizontal="left" vertical="center" wrapText="1"/>
    </xf>
    <xf numFmtId="0" fontId="29" fillId="13" borderId="39" xfId="0" applyFont="1" applyFill="1" applyBorder="1" applyAlignment="1">
      <alignment horizontal="left" vertical="center" wrapText="1"/>
    </xf>
    <xf numFmtId="0" fontId="49" fillId="0" borderId="24" xfId="0" applyFont="1" applyBorder="1" applyAlignment="1">
      <alignment horizontal="left" vertical="center" wrapText="1"/>
    </xf>
    <xf numFmtId="0" fontId="49" fillId="0" borderId="26" xfId="0" applyFont="1" applyBorder="1" applyAlignment="1">
      <alignment horizontal="left" vertical="center" wrapText="1"/>
    </xf>
    <xf numFmtId="0" fontId="35" fillId="0" borderId="50" xfId="0" applyFont="1" applyBorder="1" applyAlignment="1">
      <alignment horizontal="right" vertical="center" wrapText="1"/>
    </xf>
    <xf numFmtId="0" fontId="35" fillId="0" borderId="36" xfId="0" applyFont="1" applyBorder="1" applyAlignment="1">
      <alignment horizontal="right" vertical="center" wrapText="1"/>
    </xf>
    <xf numFmtId="165" fontId="49" fillId="13" borderId="32" xfId="0" applyNumberFormat="1" applyFont="1" applyFill="1" applyBorder="1" applyAlignment="1">
      <alignment horizontal="center" vertical="center"/>
    </xf>
    <xf numFmtId="165" fontId="49" fillId="13" borderId="32" xfId="0" applyNumberFormat="1" applyFont="1" applyFill="1" applyBorder="1" applyAlignment="1">
      <alignment vertical="center"/>
    </xf>
    <xf numFmtId="165" fontId="50" fillId="13" borderId="38" xfId="3" applyNumberFormat="1" applyFont="1" applyFill="1" applyBorder="1" applyAlignment="1" applyProtection="1">
      <alignment horizontal="center" vertical="center"/>
    </xf>
    <xf numFmtId="165" fontId="50" fillId="13" borderId="36" xfId="3" applyNumberFormat="1" applyFont="1" applyFill="1" applyBorder="1" applyAlignment="1" applyProtection="1">
      <alignment vertical="center"/>
    </xf>
    <xf numFmtId="166" fontId="50" fillId="13" borderId="38" xfId="0" applyNumberFormat="1" applyFont="1" applyFill="1" applyBorder="1" applyAlignment="1">
      <alignment horizontal="center" vertical="center"/>
    </xf>
    <xf numFmtId="0" fontId="50" fillId="13" borderId="37" xfId="0" applyFont="1" applyFill="1" applyBorder="1" applyAlignment="1">
      <alignment vertical="center"/>
    </xf>
    <xf numFmtId="0" fontId="13" fillId="0" borderId="27" xfId="0" applyFont="1" applyBorder="1" applyAlignment="1" applyProtection="1">
      <alignment horizontal="left" vertical="center" wrapText="1"/>
      <protection locked="0"/>
    </xf>
    <xf numFmtId="44" fontId="13" fillId="0" borderId="30" xfId="0" applyNumberFormat="1" applyFont="1" applyBorder="1" applyAlignment="1" applyProtection="1">
      <alignment horizontal="center" vertical="center"/>
      <protection locked="0"/>
    </xf>
    <xf numFmtId="44" fontId="13" fillId="0" borderId="34" xfId="0" applyNumberFormat="1" applyFont="1" applyBorder="1" applyAlignment="1" applyProtection="1">
      <alignment horizontal="center" vertical="center"/>
      <protection locked="0"/>
    </xf>
    <xf numFmtId="0" fontId="13" fillId="0" borderId="34" xfId="0" applyFont="1" applyBorder="1" applyAlignment="1" applyProtection="1">
      <alignment vertical="center"/>
      <protection locked="0"/>
    </xf>
    <xf numFmtId="0" fontId="24" fillId="13" borderId="96" xfId="0" applyFont="1" applyFill="1" applyBorder="1" applyAlignment="1">
      <alignment horizontal="left" vertical="center" wrapText="1"/>
    </xf>
    <xf numFmtId="0" fontId="24" fillId="13" borderId="42" xfId="0" applyFont="1" applyFill="1" applyBorder="1" applyAlignment="1">
      <alignment horizontal="left" vertical="center" wrapText="1"/>
    </xf>
    <xf numFmtId="0" fontId="13" fillId="0" borderId="33" xfId="0" applyFont="1" applyBorder="1" applyAlignment="1" applyProtection="1">
      <alignment horizontal="left" vertical="center" wrapText="1"/>
      <protection locked="0"/>
    </xf>
    <xf numFmtId="0" fontId="13" fillId="0" borderId="94" xfId="0" applyFont="1" applyBorder="1" applyAlignment="1" applyProtection="1">
      <alignment horizontal="left" vertical="center" wrapText="1"/>
      <protection locked="0"/>
    </xf>
    <xf numFmtId="0" fontId="24" fillId="13" borderId="24" xfId="0" applyFont="1" applyFill="1" applyBorder="1" applyAlignment="1">
      <alignment horizontal="left" vertical="center" wrapText="1"/>
    </xf>
    <xf numFmtId="0" fontId="24" fillId="13" borderId="26" xfId="0" applyFont="1" applyFill="1" applyBorder="1" applyAlignment="1">
      <alignment horizontal="left" vertical="center" wrapText="1"/>
    </xf>
    <xf numFmtId="0" fontId="13" fillId="0" borderId="93" xfId="0" applyFont="1" applyBorder="1" applyAlignment="1" applyProtection="1">
      <alignment horizontal="left" vertical="center" wrapText="1"/>
      <protection locked="0"/>
    </xf>
    <xf numFmtId="44" fontId="51" fillId="13" borderId="35" xfId="0" applyNumberFormat="1" applyFont="1" applyFill="1" applyBorder="1" applyAlignment="1">
      <alignment horizontal="center" vertical="center"/>
    </xf>
    <xf numFmtId="44" fontId="51" fillId="13" borderId="37" xfId="0" applyNumberFormat="1" applyFont="1" applyFill="1" applyBorder="1" applyAlignment="1">
      <alignment horizontal="center" vertical="center"/>
    </xf>
    <xf numFmtId="0" fontId="20" fillId="8" borderId="95" xfId="1" quotePrefix="1" applyFont="1" applyFill="1" applyBorder="1" applyAlignment="1">
      <alignment horizontal="center" vertical="center"/>
    </xf>
    <xf numFmtId="0" fontId="35" fillId="0" borderId="38" xfId="0" applyFont="1" applyBorder="1" applyAlignment="1">
      <alignment horizontal="right" vertical="center" wrapText="1"/>
    </xf>
    <xf numFmtId="0" fontId="24" fillId="13" borderId="32" xfId="0" applyFont="1" applyFill="1" applyBorder="1" applyAlignment="1">
      <alignment horizontal="left" vertical="center" wrapText="1" indent="1"/>
    </xf>
    <xf numFmtId="0" fontId="24" fillId="13" borderId="34" xfId="0" applyFont="1" applyFill="1" applyBorder="1" applyAlignment="1">
      <alignment horizontal="left" vertical="center" wrapText="1" indent="1"/>
    </xf>
    <xf numFmtId="0" fontId="10" fillId="13" borderId="32" xfId="0" applyFont="1" applyFill="1" applyBorder="1" applyAlignment="1">
      <alignment horizontal="center" vertical="center" wrapText="1"/>
    </xf>
    <xf numFmtId="0" fontId="10" fillId="13" borderId="34" xfId="0" applyFont="1" applyFill="1" applyBorder="1" applyAlignment="1">
      <alignment horizontal="center" vertical="center" wrapText="1"/>
    </xf>
    <xf numFmtId="0" fontId="10" fillId="13" borderId="32" xfId="0" applyFont="1" applyFill="1" applyBorder="1" applyAlignment="1">
      <alignment horizontal="left" vertical="center" wrapText="1" indent="1"/>
    </xf>
    <xf numFmtId="0" fontId="10" fillId="13" borderId="34" xfId="0" applyFont="1" applyFill="1" applyBorder="1" applyAlignment="1">
      <alignment horizontal="left" vertical="center" wrapText="1" indent="1"/>
    </xf>
    <xf numFmtId="0" fontId="24" fillId="13" borderId="86" xfId="0" applyFont="1" applyFill="1" applyBorder="1" applyAlignment="1">
      <alignment horizontal="left" vertical="center" wrapText="1"/>
    </xf>
    <xf numFmtId="0" fontId="24" fillId="13" borderId="87" xfId="0" applyFont="1" applyFill="1" applyBorder="1" applyAlignment="1">
      <alignment horizontal="left" vertical="center" wrapText="1"/>
    </xf>
    <xf numFmtId="0" fontId="24" fillId="13" borderId="88" xfId="0" applyFont="1" applyFill="1" applyBorder="1" applyAlignment="1">
      <alignment horizontal="left" vertical="center" wrapText="1"/>
    </xf>
    <xf numFmtId="0" fontId="21" fillId="7" borderId="12" xfId="0" applyFont="1" applyFill="1" applyBorder="1" applyAlignment="1">
      <alignment horizontal="center" vertical="top"/>
    </xf>
    <xf numFmtId="0" fontId="21" fillId="7" borderId="8" xfId="0" applyFont="1" applyFill="1" applyBorder="1" applyAlignment="1">
      <alignment horizontal="center" vertical="top"/>
    </xf>
    <xf numFmtId="0" fontId="21" fillId="7" borderId="13" xfId="0" applyFont="1" applyFill="1" applyBorder="1" applyAlignment="1">
      <alignment horizontal="center" vertical="top"/>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1" xfId="0" applyFont="1" applyFill="1" applyBorder="1" applyAlignment="1">
      <alignment horizontal="center" vertical="center" wrapText="1"/>
    </xf>
    <xf numFmtId="0" fontId="25" fillId="7" borderId="19" xfId="0" applyFont="1" applyFill="1" applyBorder="1" applyAlignment="1">
      <alignment horizontal="center"/>
    </xf>
    <xf numFmtId="0" fontId="25" fillId="7" borderId="20" xfId="0" applyFont="1" applyFill="1" applyBorder="1" applyAlignment="1">
      <alignment horizontal="center"/>
    </xf>
    <xf numFmtId="0" fontId="25" fillId="7" borderId="21" xfId="0" applyFont="1" applyFill="1" applyBorder="1" applyAlignment="1">
      <alignment horizont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8" fillId="7" borderId="0" xfId="0" applyFont="1" applyFill="1" applyAlignment="1">
      <alignment horizontal="center"/>
    </xf>
    <xf numFmtId="0" fontId="18" fillId="7" borderId="7" xfId="0" applyFont="1" applyFill="1" applyBorder="1" applyAlignment="1">
      <alignment horizontal="center"/>
    </xf>
    <xf numFmtId="0" fontId="10" fillId="8" borderId="0" xfId="0" applyFont="1" applyFill="1" applyAlignment="1">
      <alignment horizontal="center" wrapText="1"/>
    </xf>
    <xf numFmtId="0" fontId="10" fillId="8" borderId="44" xfId="0" applyFont="1" applyFill="1" applyBorder="1" applyAlignment="1">
      <alignment horizontal="center" wrapText="1"/>
    </xf>
    <xf numFmtId="0" fontId="18" fillId="7" borderId="17" xfId="0" applyFont="1" applyFill="1" applyBorder="1" applyAlignment="1">
      <alignment horizontal="center" wrapText="1"/>
    </xf>
    <xf numFmtId="0" fontId="25" fillId="7" borderId="0" xfId="0" applyFont="1" applyFill="1" applyAlignment="1">
      <alignment horizontal="center"/>
    </xf>
    <xf numFmtId="0" fontId="39" fillId="0" borderId="48" xfId="0" applyFont="1" applyBorder="1" applyAlignment="1">
      <alignment horizontal="left"/>
    </xf>
    <xf numFmtId="0" fontId="39" fillId="0" borderId="0" xfId="0" applyFont="1" applyAlignment="1">
      <alignment horizontal="left"/>
    </xf>
  </cellXfs>
  <cellStyles count="6">
    <cellStyle name="Comma" xfId="2" builtinId="3"/>
    <cellStyle name="Currency" xfId="3" builtinId="4"/>
    <cellStyle name="Hyperlink" xfId="1" builtinId="8"/>
    <cellStyle name="Hyperlink 2" xfId="5" xr:uid="{58655CB2-9257-48E6-824E-667EFF01EB75}"/>
    <cellStyle name="Normal" xfId="0" builtinId="0"/>
    <cellStyle name="Normal 2" xfId="4" xr:uid="{07133A47-69CB-4E5E-AA9D-7FB503590D5B}"/>
  </cellStyles>
  <dxfs count="174">
    <dxf>
      <font>
        <color theme="8" tint="-0.24994659260841701"/>
      </font>
      <fill>
        <patternFill>
          <bgColor theme="6" tint="0.79998168889431442"/>
        </patternFill>
      </fill>
    </dxf>
    <dxf>
      <font>
        <color rgb="FFC00000"/>
      </font>
      <fill>
        <patternFill>
          <bgColor theme="5" tint="0.79998168889431442"/>
        </patternFill>
      </fill>
    </dxf>
    <dxf>
      <font>
        <color theme="8" tint="-0.24994659260841701"/>
      </font>
      <fill>
        <patternFill>
          <bgColor theme="6" tint="0.79998168889431442"/>
        </patternFill>
      </fill>
    </dxf>
    <dxf>
      <font>
        <color rgb="FFC00000"/>
      </font>
      <fill>
        <patternFill>
          <bgColor theme="5" tint="0.79998168889431442"/>
        </patternFill>
      </fill>
    </dxf>
    <dxf>
      <font>
        <color rgb="FFF0F9FA"/>
      </font>
      <fill>
        <patternFill>
          <bgColor rgb="FFF0F9FA"/>
        </patternFill>
      </fill>
      <border>
        <bottom/>
        <vertical/>
        <horizontal/>
      </border>
    </dxf>
    <dxf>
      <font>
        <color rgb="FF2F9299"/>
      </font>
    </dxf>
    <dxf>
      <font>
        <color rgb="FFBE5201"/>
      </font>
      <fill>
        <patternFill>
          <bgColor rgb="FFFEF2CD"/>
        </patternFill>
      </fill>
    </dxf>
    <dxf>
      <font>
        <color rgb="FFF0F9FA"/>
      </font>
      <fill>
        <patternFill>
          <bgColor rgb="FFF0F9FA"/>
        </patternFill>
      </fill>
      <border>
        <bottom/>
        <vertical/>
        <horizontal/>
      </border>
    </dxf>
    <dxf>
      <font>
        <color rgb="FFF0F9FA"/>
      </font>
      <fill>
        <patternFill>
          <bgColor rgb="FFF0F9FA"/>
        </patternFill>
      </fill>
      <border>
        <top/>
        <bottom/>
      </border>
    </dxf>
    <dxf>
      <fill>
        <patternFill>
          <bgColor rgb="FFF0F9FA"/>
        </patternFill>
      </fill>
      <border>
        <top/>
        <bottom/>
        <vertical/>
        <horizontal/>
      </border>
    </dxf>
    <dxf>
      <fill>
        <patternFill>
          <bgColor rgb="FFF0F9FA"/>
        </patternFill>
      </fill>
      <border>
        <top/>
        <bottom/>
        <vertical/>
        <horizontal/>
      </border>
    </dxf>
    <dxf>
      <font>
        <color theme="9" tint="-0.24994659260841701"/>
      </font>
    </dxf>
    <dxf>
      <font>
        <color theme="8" tint="-0.24994659260841701"/>
      </font>
      <fill>
        <patternFill>
          <bgColor theme="6" tint="0.79998168889431442"/>
        </patternFill>
      </fill>
    </dxf>
    <dxf>
      <font>
        <b val="0"/>
        <i val="0"/>
        <color theme="8" tint="-0.24994659260841701"/>
      </font>
      <fill>
        <patternFill>
          <bgColor theme="6" tint="0.79998168889431442"/>
        </patternFill>
      </fill>
    </dxf>
    <dxf>
      <font>
        <b val="0"/>
        <i val="0"/>
        <color theme="9" tint="-0.24994659260841701"/>
      </font>
    </dxf>
    <dxf>
      <border>
        <left style="thin">
          <color theme="0" tint="-0.14996795556505021"/>
        </left>
        <top style="thin">
          <color theme="0" tint="-0.14996795556505021"/>
        </top>
        <bottom style="thin">
          <color theme="0" tint="-0.14996795556505021"/>
        </bottom>
        <vertical/>
        <horizontal/>
      </border>
    </dxf>
    <dxf>
      <font>
        <color theme="9" tint="-0.24994659260841701"/>
      </font>
    </dxf>
    <dxf>
      <font>
        <color theme="8" tint="-0.24994659260841701"/>
      </font>
      <fill>
        <patternFill>
          <bgColor theme="6" tint="0.79998168889431442"/>
        </patternFill>
      </fill>
    </dxf>
    <dxf>
      <border>
        <left style="thin">
          <color theme="0" tint="-0.14996795556505021"/>
        </left>
        <right style="thin">
          <color theme="0" tint="-0.34998626667073579"/>
        </right>
        <top style="thin">
          <color theme="0" tint="-0.14996795556505021"/>
        </top>
        <bottom style="thin">
          <color theme="0" tint="-0.14996795556505021"/>
        </bottom>
        <vertical/>
        <horizontal/>
      </border>
    </dxf>
    <dxf>
      <font>
        <color theme="9" tint="-0.24994659260841701"/>
      </font>
    </dxf>
    <dxf>
      <font>
        <color theme="8" tint="-0.24994659260841701"/>
      </font>
      <fill>
        <patternFill>
          <bgColor theme="6" tint="0.79998168889431442"/>
        </patternFill>
      </fill>
    </dxf>
    <dxf>
      <border>
        <right style="thin">
          <color theme="0" tint="-0.34998626667073579"/>
        </right>
        <top style="thin">
          <color theme="0" tint="-0.14996795556505021"/>
        </top>
        <bottom style="thin">
          <color theme="0" tint="-0.14996795556505021"/>
        </bottom>
        <vertical/>
        <horizontal/>
      </border>
    </dxf>
    <dxf>
      <font>
        <color theme="9" tint="-0.24994659260841701"/>
      </font>
      <fill>
        <patternFill>
          <bgColor rgb="FFF2F4F7"/>
        </patternFill>
      </fill>
    </dxf>
    <dxf>
      <font>
        <color theme="8" tint="-0.24994659260841701"/>
      </font>
      <fill>
        <patternFill>
          <bgColor theme="6" tint="0.79998168889431442"/>
        </patternFill>
      </fill>
    </dxf>
    <dxf>
      <font>
        <color theme="8" tint="-0.24994659260841701"/>
      </font>
      <fill>
        <patternFill>
          <bgColor theme="6" tint="0.79998168889431442"/>
        </patternFill>
      </fill>
    </dxf>
    <dxf>
      <font>
        <color rgb="FFC00000"/>
      </font>
      <fill>
        <patternFill>
          <bgColor theme="5" tint="0.79998168889431442"/>
        </patternFill>
      </fill>
    </dxf>
    <dxf>
      <font>
        <color rgb="FFF0F9FA"/>
      </font>
      <border>
        <bottom/>
        <vertical/>
        <horizontal/>
      </border>
    </dxf>
    <dxf>
      <font>
        <color rgb="FFF0F9FA"/>
      </font>
      <border>
        <bottom/>
        <vertical/>
        <horizontal/>
      </border>
    </dxf>
    <dxf>
      <font>
        <color rgb="FFF0F9FA"/>
      </font>
      <fill>
        <patternFill>
          <bgColor rgb="FFF0F9FA"/>
        </patternFill>
      </fill>
      <border>
        <left/>
        <right/>
        <bottom/>
        <vertical/>
        <horizontal/>
      </border>
    </dxf>
    <dxf>
      <font>
        <color rgb="FFF0F9FA"/>
      </font>
      <fill>
        <patternFill>
          <bgColor rgb="FFF0F9FA"/>
        </patternFill>
      </fill>
      <border>
        <left/>
        <right/>
        <top/>
        <bottom/>
      </border>
    </dxf>
    <dxf>
      <font>
        <color theme="8" tint="-0.24994659260841701"/>
      </font>
      <fill>
        <patternFill>
          <bgColor theme="6" tint="0.79998168889431442"/>
        </patternFill>
      </fill>
    </dxf>
    <dxf>
      <font>
        <color rgb="FFC00000"/>
      </font>
      <fill>
        <patternFill>
          <bgColor theme="5" tint="0.79998168889431442"/>
        </patternFill>
      </fill>
    </dxf>
    <dxf>
      <font>
        <color theme="8" tint="-0.24994659260841701"/>
      </font>
      <fill>
        <patternFill>
          <bgColor theme="6" tint="0.79998168889431442"/>
        </patternFill>
      </fill>
    </dxf>
    <dxf>
      <font>
        <color rgb="FFC00000"/>
      </font>
      <fill>
        <patternFill>
          <bgColor theme="5" tint="0.79998168889431442"/>
        </patternFill>
      </fill>
    </dxf>
    <dxf>
      <fill>
        <patternFill>
          <bgColor rgb="FFFFF9E6"/>
        </patternFill>
      </fill>
    </dxf>
    <dxf>
      <fill>
        <patternFill>
          <bgColor rgb="FFFFF9E6"/>
        </patternFill>
      </fill>
    </dxf>
    <dxf>
      <fill>
        <patternFill>
          <bgColor rgb="FFFFF9E6"/>
        </patternFill>
      </fill>
    </dxf>
    <dxf>
      <fill>
        <patternFill>
          <bgColor rgb="FFFFF9E6"/>
        </patternFill>
      </fill>
    </dxf>
    <dxf>
      <font>
        <color theme="8" tint="-0.24994659260841701"/>
      </font>
      <fill>
        <patternFill>
          <bgColor theme="6" tint="0.79998168889431442"/>
        </patternFill>
      </fill>
    </dxf>
    <dxf>
      <font>
        <color rgb="FFBE5201"/>
      </font>
      <fill>
        <patternFill>
          <bgColor rgb="FFFEF2CD"/>
        </patternFill>
      </fill>
    </dxf>
    <dxf>
      <font>
        <color rgb="FF2F9299"/>
      </font>
    </dxf>
    <dxf>
      <font>
        <color theme="9" tint="-0.24994659260841701"/>
      </font>
    </dxf>
    <dxf>
      <font>
        <color theme="8" tint="-0.24994659260841701"/>
      </font>
      <fill>
        <patternFill>
          <bgColor theme="6" tint="0.79998168889431442"/>
        </patternFill>
      </fill>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left/>
        <right style="thin">
          <color theme="0" tint="-0.34998626667073579"/>
        </right>
        <top/>
        <bottom/>
        <vertical/>
        <horizontal/>
      </border>
    </dxf>
    <dxf>
      <fill>
        <patternFill>
          <bgColor rgb="FFFFF9E6"/>
        </patternFill>
      </fill>
    </dxf>
    <dxf>
      <border>
        <left/>
        <right style="thin">
          <color theme="0" tint="-0.34998626667073579"/>
        </right>
        <vertical/>
        <horizontal/>
      </border>
    </dxf>
    <dxf>
      <fill>
        <patternFill>
          <bgColor rgb="FFFFF9E6"/>
        </patternFill>
      </fill>
    </dxf>
    <dxf>
      <border>
        <left/>
        <right style="thin">
          <color theme="0" tint="-0.34998626667073579"/>
        </right>
        <vertical/>
        <horizontal/>
      </border>
    </dxf>
    <dxf>
      <font>
        <color rgb="FFF0F9FA"/>
      </font>
      <fill>
        <patternFill>
          <bgColor rgb="FFF0F9FA"/>
        </patternFill>
      </fill>
      <border>
        <right style="thin">
          <color theme="0" tint="-0.34998626667073579"/>
        </right>
        <top/>
        <bottom/>
        <vertical/>
        <horizontal/>
      </border>
    </dxf>
    <dxf>
      <fill>
        <patternFill>
          <bgColor rgb="FFFFF9E6"/>
        </patternFill>
      </fill>
      <border>
        <right style="thin">
          <color theme="0" tint="-0.34998626667073579"/>
        </right>
      </border>
    </dxf>
    <dxf>
      <font>
        <color rgb="FFF0F9FA"/>
      </font>
      <fill>
        <patternFill>
          <bgColor rgb="FFF0F9FA"/>
        </patternFill>
      </fill>
      <border>
        <right style="thin">
          <color theme="0" tint="-0.34998626667073579"/>
        </right>
        <top/>
        <bottom/>
      </border>
    </dxf>
    <dxf>
      <border>
        <left/>
        <right style="thin">
          <color theme="0" tint="-0.34998626667073579"/>
        </right>
        <vertical/>
        <horizontal/>
      </border>
    </dxf>
    <dxf>
      <fill>
        <patternFill>
          <bgColor rgb="FFFFF9E6"/>
        </patternFill>
      </fill>
    </dxf>
    <dxf>
      <font>
        <color rgb="FFF0F9FA"/>
      </font>
      <fill>
        <patternFill>
          <bgColor rgb="FFF0F9FA"/>
        </patternFill>
      </fill>
      <border>
        <right style="thin">
          <color theme="0" tint="-0.34998626667073579"/>
        </right>
        <top/>
        <bottom/>
      </border>
    </dxf>
    <dxf>
      <border>
        <left/>
        <right style="thin">
          <color theme="0" tint="-0.34998626667073579"/>
        </right>
        <vertical/>
        <horizontal/>
      </border>
    </dxf>
    <dxf>
      <font>
        <color rgb="FFF0F9FA"/>
      </font>
      <fill>
        <patternFill>
          <bgColor rgb="FFF0F9FA"/>
        </patternFill>
      </fill>
      <border>
        <bottom/>
        <vertical/>
        <horizontal/>
      </border>
    </dxf>
    <dxf>
      <fill>
        <patternFill>
          <bgColor rgb="FFFFF9E6"/>
        </patternFill>
      </fill>
    </dxf>
    <dxf>
      <fill>
        <patternFill>
          <bgColor rgb="FFFFF9E6"/>
        </patternFill>
      </fill>
    </dxf>
    <dxf>
      <font>
        <color rgb="FFF0F9FA"/>
      </font>
      <fill>
        <patternFill>
          <bgColor rgb="FFF0F9FA"/>
        </patternFill>
      </fill>
      <border>
        <vertical/>
        <horizontal/>
      </border>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border>
    </dxf>
    <dxf>
      <font>
        <color rgb="FFBE5201"/>
      </font>
    </dxf>
    <dxf>
      <font>
        <color rgb="FFF0F9FA"/>
      </font>
      <fill>
        <patternFill>
          <bgColor rgb="FFF0F9FA"/>
        </patternFill>
      </fill>
      <border>
        <left/>
        <right/>
        <top/>
        <bottom/>
        <vertical/>
        <horizontal/>
      </border>
    </dxf>
    <dxf>
      <font>
        <color rgb="FFF0F9FA"/>
      </font>
    </dxf>
    <dxf>
      <font>
        <color theme="8" tint="-0.24994659260841701"/>
      </font>
      <fill>
        <patternFill>
          <bgColor theme="6" tint="0.79998168889431442"/>
        </patternFill>
      </fill>
    </dxf>
    <dxf>
      <fill>
        <patternFill>
          <bgColor rgb="FFFFF9E6"/>
        </patternFill>
      </fill>
    </dxf>
    <dxf>
      <font>
        <color rgb="FFF0F9FA"/>
      </font>
      <fill>
        <patternFill>
          <bgColor rgb="FFF0F9FA"/>
        </patternFill>
      </fill>
      <border>
        <right/>
        <top/>
      </border>
    </dxf>
    <dxf>
      <border>
        <right style="thin">
          <color theme="0" tint="-0.14996795556505021"/>
        </right>
        <bottom style="thin">
          <color theme="0" tint="-0.34998626667073579"/>
        </bottom>
        <vertical/>
        <horizontal/>
      </border>
    </dxf>
    <dxf>
      <fill>
        <patternFill>
          <bgColor rgb="FFFFF9E6"/>
        </patternFill>
      </fill>
    </dxf>
    <dxf>
      <font>
        <color rgb="FFF0F9FA"/>
      </font>
      <fill>
        <patternFill>
          <bgColor rgb="FFF0F9FA"/>
        </patternFill>
      </fill>
      <border>
        <right/>
        <top/>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border>
        <right style="thin">
          <color theme="0" tint="-0.14996795556505021"/>
        </right>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ont>
        <color auto="1"/>
      </font>
      <fill>
        <patternFill>
          <bgColor rgb="FFFFF9E6"/>
        </patternFill>
      </fill>
    </dxf>
    <dxf>
      <font>
        <color rgb="FFBE5201"/>
      </font>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right/>
        <top/>
        <bottom/>
      </border>
    </dxf>
    <dxf>
      <border>
        <left/>
        <right/>
        <bottom style="thin">
          <color theme="0" tint="-0.34998626667073579"/>
        </bottom>
        <vertical/>
        <horizontal/>
      </border>
    </dxf>
    <dxf>
      <font>
        <color rgb="FFF0F9FA"/>
      </font>
      <fill>
        <patternFill>
          <bgColor rgb="FFF0F9FA"/>
        </patternFill>
      </fill>
      <border>
        <top/>
      </border>
    </dxf>
    <dxf>
      <font>
        <color theme="8" tint="-0.24994659260841701"/>
      </font>
      <fill>
        <patternFill>
          <bgColor theme="6" tint="0.79998168889431442"/>
        </patternFill>
      </fill>
    </dxf>
    <dxf>
      <fill>
        <patternFill>
          <bgColor rgb="FFFFF9E6"/>
        </patternFill>
      </fill>
    </dxf>
    <dxf>
      <fill>
        <patternFill>
          <bgColor rgb="FFFFF9E6"/>
        </patternFill>
      </fill>
    </dxf>
    <dxf>
      <fill>
        <patternFill>
          <bgColor rgb="FFFFF9E6"/>
        </patternFill>
      </fill>
    </dxf>
    <dxf>
      <fill>
        <patternFill>
          <bgColor theme="0"/>
        </patternFill>
      </fill>
      <border>
        <right style="thin">
          <color theme="0" tint="-0.14996795556505021"/>
        </right>
      </border>
    </dxf>
    <dxf>
      <border>
        <left/>
        <right style="thin">
          <color theme="0" tint="-0.14996795556505021"/>
        </right>
        <vertical/>
        <horizontal/>
      </border>
    </dxf>
    <dxf>
      <fill>
        <patternFill>
          <bgColor rgb="FFFFF9E6"/>
        </patternFill>
      </fill>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font>
        <color rgb="FFBE5201"/>
      </font>
    </dxf>
    <dxf>
      <font>
        <color auto="1"/>
      </font>
      <fill>
        <patternFill>
          <bgColor rgb="FFFFF9E6"/>
        </patternFill>
      </fill>
    </dxf>
    <dxf>
      <border>
        <left/>
        <right style="thin">
          <color theme="0" tint="-0.14996795556505021"/>
        </right>
        <vertical/>
        <horizontal/>
      </border>
    </dxf>
    <dxf>
      <fill>
        <patternFill>
          <bgColor rgb="FFFFF9E6"/>
        </patternFill>
      </fill>
    </dxf>
    <dxf>
      <fill>
        <patternFill>
          <bgColor rgb="FFFFF9E6"/>
        </patternFill>
      </fill>
    </dxf>
    <dxf>
      <font>
        <color rgb="FFF0F9FA"/>
      </font>
      <fill>
        <patternFill>
          <bgColor rgb="FFF0F9FA"/>
        </patternFill>
      </fill>
      <border>
        <right/>
        <top/>
        <bottom/>
        <vertical/>
        <horizontal/>
      </border>
    </dxf>
    <dxf>
      <font>
        <color theme="8" tint="-0.24994659260841701"/>
      </font>
      <fill>
        <patternFill>
          <bgColor theme="6" tint="0.79998168889431442"/>
        </patternFill>
      </fill>
    </dxf>
    <dxf>
      <fill>
        <patternFill>
          <bgColor rgb="FFFFF9E6"/>
        </patternFill>
      </fill>
    </dxf>
    <dxf>
      <border>
        <right style="thin">
          <color theme="0" tint="-0.14996795556505021"/>
        </right>
        <bottom style="thin">
          <color theme="0" tint="-0.34998626667073579"/>
        </bottom>
        <vertical/>
        <horizontal/>
      </border>
    </dxf>
    <dxf>
      <fill>
        <patternFill>
          <bgColor rgb="FFFFF9E6"/>
        </patternFill>
      </fill>
    </dxf>
    <dxf>
      <border>
        <right/>
        <bottom style="thin">
          <color theme="0" tint="-0.34998626667073579"/>
        </bottom>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ont>
        <color auto="1"/>
      </font>
      <fill>
        <patternFill>
          <bgColor rgb="FFFFF9E6"/>
        </patternFill>
      </fill>
    </dxf>
    <dxf>
      <font>
        <color rgb="FFBE5201"/>
      </font>
    </dxf>
    <dxf>
      <border>
        <left/>
        <right style="thin">
          <color theme="0" tint="-0.14996795556505021"/>
        </right>
        <vertical/>
        <horizontal/>
      </border>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right/>
        <top/>
      </border>
    </dxf>
    <dxf>
      <border>
        <left/>
        <right/>
        <bottom style="thin">
          <color theme="0" tint="-0.34998626667073579"/>
        </bottom>
        <vertical/>
        <horizontal/>
      </border>
    </dxf>
    <dxf>
      <font>
        <color rgb="FFF0F9FA"/>
      </font>
      <fill>
        <patternFill>
          <bgColor rgb="FFF0F9FA"/>
        </patternFill>
      </fill>
      <border>
        <right/>
        <top/>
        <bottom/>
        <vertical/>
        <horizontal/>
      </border>
    </dxf>
    <dxf>
      <font>
        <color rgb="FFBE5201"/>
      </font>
      <fill>
        <patternFill>
          <bgColor theme="6" tint="0.79998168889431442"/>
        </patternFill>
      </fill>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border>
        <left/>
        <right style="thin">
          <color theme="0" tint="-0.14996795556505021"/>
        </right>
        <vertical/>
        <horizontal/>
      </border>
    </dxf>
    <dxf>
      <font>
        <color rgb="FFBE5201"/>
      </font>
    </dxf>
    <dxf>
      <font>
        <color auto="1"/>
      </font>
      <fill>
        <patternFill>
          <bgColor rgb="FFFFF9E6"/>
        </patternFill>
      </fill>
    </dxf>
    <dxf>
      <border>
        <left/>
        <right style="thin">
          <color theme="0" tint="-0.14996795556505021"/>
        </right>
        <top style="thin">
          <color theme="0" tint="-0.14996795556505021"/>
        </top>
        <bottom style="thin">
          <color theme="0" tint="-0.14996795556505021"/>
        </bottom>
        <vertical/>
        <horizontal/>
      </border>
    </dxf>
    <dxf>
      <fill>
        <patternFill>
          <bgColor rgb="FFFFF9E6"/>
        </patternFill>
      </fill>
    </dxf>
    <dxf>
      <fill>
        <patternFill>
          <bgColor rgb="FFFFF9E6"/>
        </patternFill>
      </fill>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bottom/>
        <vertical/>
        <horizontal/>
      </border>
    </dxf>
    <dxf>
      <font>
        <color rgb="FF004064"/>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004064"/>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right/>
        <top/>
      </border>
    </dxf>
    <dxf>
      <border>
        <right/>
        <bottom style="thin">
          <color theme="0" tint="-0.14996795556505021"/>
        </bottom>
        <vertical/>
        <horizontal/>
      </border>
    </dxf>
    <dxf>
      <border>
        <right/>
        <bottom style="thin">
          <color theme="0" tint="-0.14996795556505021"/>
        </bottom>
        <vertical/>
        <horizontal/>
      </border>
    </dxf>
    <dxf>
      <font>
        <color rgb="FFF0F9FA"/>
      </font>
      <fill>
        <patternFill>
          <bgColor rgb="FFF0F9FA"/>
        </patternFill>
      </fill>
      <border>
        <left/>
        <right/>
        <top/>
        <bottom/>
        <vertical/>
        <horizontal/>
      </border>
    </dxf>
    <dxf>
      <font>
        <color rgb="FFF0F9FA"/>
      </font>
      <fill>
        <patternFill>
          <bgColor rgb="FFF0F9FA"/>
        </patternFill>
      </fill>
      <border>
        <right/>
        <top/>
        <bottom/>
      </border>
    </dxf>
    <dxf>
      <font>
        <color rgb="FFF0F9FA"/>
      </font>
      <fill>
        <patternFill>
          <bgColor rgb="FFF0F9FA"/>
        </patternFill>
      </fill>
      <border>
        <right/>
        <top/>
        <bottom/>
      </border>
    </dxf>
    <dxf>
      <font>
        <color rgb="FFF0F9FA"/>
      </font>
      <fill>
        <patternFill>
          <bgColor rgb="FFF0F9FA"/>
        </patternFill>
      </fill>
      <border>
        <right/>
        <bottom/>
        <vertical/>
        <horizontal/>
      </border>
    </dxf>
    <dxf>
      <font>
        <color rgb="FF2F9299"/>
      </font>
    </dxf>
    <dxf>
      <font>
        <color rgb="FFBE5201"/>
      </font>
      <fill>
        <patternFill>
          <bgColor rgb="FFFEF2CD"/>
        </patternFill>
      </fill>
    </dxf>
    <dxf>
      <font>
        <color rgb="FFF0F9FA"/>
      </font>
      <fill>
        <patternFill>
          <bgColor rgb="FFF0F9FA"/>
        </patternFill>
      </fill>
      <border>
        <right/>
        <vertical/>
        <horizontal/>
      </border>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top/>
        <bottom/>
        <vertical/>
        <horizontal/>
      </border>
    </dxf>
    <dxf>
      <font>
        <color rgb="FFF0F9FA"/>
      </font>
      <fill>
        <patternFill>
          <bgColor rgb="FFF0F9FA"/>
        </patternFill>
      </fill>
      <border>
        <left/>
        <right/>
        <top/>
        <vertical/>
        <horizontal/>
      </border>
    </dxf>
    <dxf>
      <font>
        <color rgb="FFF0F9FA"/>
      </font>
      <fill>
        <patternFill>
          <bgColor rgb="FFF0F9FA"/>
        </patternFill>
      </fill>
      <border>
        <right/>
        <top/>
        <vertical/>
        <horizontal/>
      </border>
    </dxf>
    <dxf>
      <font>
        <color rgb="FFF0F9FA"/>
      </font>
      <fill>
        <patternFill>
          <bgColor rgb="FFF0F9FA"/>
        </patternFill>
      </fill>
      <border>
        <right/>
        <top/>
        <bottom/>
      </border>
    </dxf>
    <dxf>
      <font>
        <b val="0"/>
        <i val="0"/>
        <color theme="9" tint="-0.24994659260841701"/>
      </font>
    </dxf>
    <dxf>
      <font>
        <b val="0"/>
        <i val="0"/>
        <color rgb="FFBE5201"/>
      </font>
      <fill>
        <patternFill>
          <bgColor rgb="FFFEF2CD"/>
        </patternFill>
      </fill>
    </dxf>
  </dxfs>
  <tableStyles count="0" defaultTableStyle="TableStyleMedium2" defaultPivotStyle="PivotStyleLight16"/>
  <colors>
    <mruColors>
      <color rgb="FF1B5559"/>
      <color rgb="FF004064"/>
      <color rgb="FFF2F4F7"/>
      <color rgb="FFBE5201"/>
      <color rgb="FFF0F9FA"/>
      <color rgb="FFFEF2CD"/>
      <color rgb="FF2F9299"/>
      <color rgb="FF00A7FF"/>
      <color rgb="FFFFF9E6"/>
      <color rgb="FF0040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User Inputs'!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hyperlink" Target="#'User Inputs'!A1"/><Relationship Id="rId2" Type="http://schemas.openxmlformats.org/officeDocument/2006/relationships/image" Target="../media/image4.png"/><Relationship Id="rId1" Type="http://schemas.openxmlformats.org/officeDocument/2006/relationships/image" Target="../media/image2.pn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hyperlink" Target="#'User Inputs'!A1"/><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User Inputs'!A1"/></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User Inputs'!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User Inputs'!A1"/></Relationships>
</file>

<file path=xl/drawings/drawing1.xml><?xml version="1.0" encoding="utf-8"?>
<xdr:wsDr xmlns:xdr="http://schemas.openxmlformats.org/drawingml/2006/spreadsheetDrawing" xmlns:a="http://schemas.openxmlformats.org/drawingml/2006/main">
  <xdr:twoCellAnchor editAs="oneCell">
    <xdr:from>
      <xdr:col>0</xdr:col>
      <xdr:colOff>179693</xdr:colOff>
      <xdr:row>1</xdr:row>
      <xdr:rowOff>1324578</xdr:rowOff>
    </xdr:from>
    <xdr:to>
      <xdr:col>0</xdr:col>
      <xdr:colOff>3932464</xdr:colOff>
      <xdr:row>2</xdr:row>
      <xdr:rowOff>297997</xdr:rowOff>
    </xdr:to>
    <xdr:pic>
      <xdr:nvPicPr>
        <xdr:cNvPr id="24" name="Picture 61" descr="Maryland energy administration logo featuring solar panel, building, maryland flag">
          <a:extLst>
            <a:ext uri="{FF2B5EF4-FFF2-40B4-BE49-F238E27FC236}">
              <a16:creationId xmlns:a16="http://schemas.microsoft.com/office/drawing/2014/main" id="{D3069163-F86F-4886-BBEB-EC72479867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693" y="1623935"/>
          <a:ext cx="3752771" cy="1082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2</xdr:col>
      <xdr:colOff>0</xdr:colOff>
      <xdr:row>1</xdr:row>
      <xdr:rowOff>1554480</xdr:rowOff>
    </xdr:to>
    <xdr:sp macro="" textlink="">
      <xdr:nvSpPr>
        <xdr:cNvPr id="2" name="TextBox 7">
          <a:extLst>
            <a:ext uri="{FF2B5EF4-FFF2-40B4-BE49-F238E27FC236}">
              <a16:creationId xmlns:a16="http://schemas.microsoft.com/office/drawing/2014/main" id="{74D21309-2976-422D-9529-6E41E11BF25D}"/>
            </a:ext>
          </a:extLst>
        </xdr:cNvPr>
        <xdr:cNvSpPr txBox="1"/>
      </xdr:nvSpPr>
      <xdr:spPr>
        <a:xfrm>
          <a:off x="0" y="190500"/>
          <a:ext cx="14382750" cy="1554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27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v.1.003</a:t>
          </a:r>
          <a:endParaRPr lang="en-US" sz="2000">
            <a:effectLst/>
            <a:latin typeface="Aptos Light" panose="020B0004020202020204" pitchFamily="34" charset="0"/>
          </a:endParaRPr>
        </a:p>
      </xdr:txBody>
    </xdr:sp>
    <xdr:clientData/>
  </xdr:twoCellAnchor>
  <xdr:twoCellAnchor>
    <xdr:from>
      <xdr:col>1</xdr:col>
      <xdr:colOff>8015968</xdr:colOff>
      <xdr:row>1</xdr:row>
      <xdr:rowOff>803275</xdr:rowOff>
    </xdr:from>
    <xdr:to>
      <xdr:col>2</xdr:col>
      <xdr:colOff>453</xdr:colOff>
      <xdr:row>3</xdr:row>
      <xdr:rowOff>28576</xdr:rowOff>
    </xdr:to>
    <xdr:grpSp>
      <xdr:nvGrpSpPr>
        <xdr:cNvPr id="94" name="Group 3">
          <a:extLst>
            <a:ext uri="{FF2B5EF4-FFF2-40B4-BE49-F238E27FC236}">
              <a16:creationId xmlns:a16="http://schemas.microsoft.com/office/drawing/2014/main" id="{D7DF658F-821C-4D0B-B406-7FE5BBA8577C}"/>
            </a:ext>
          </a:extLst>
        </xdr:cNvPr>
        <xdr:cNvGrpSpPr/>
      </xdr:nvGrpSpPr>
      <xdr:grpSpPr>
        <a:xfrm>
          <a:off x="12751254" y="999218"/>
          <a:ext cx="2042885" cy="1837872"/>
          <a:chOff x="15681325" y="123825"/>
          <a:chExt cx="1762124" cy="1847851"/>
        </a:xfrm>
      </xdr:grpSpPr>
      <xdr:sp macro="" textlink="">
        <xdr:nvSpPr>
          <xdr:cNvPr id="95" name="Flowchart: Delay 4">
            <a:extLst>
              <a:ext uri="{FF2B5EF4-FFF2-40B4-BE49-F238E27FC236}">
                <a16:creationId xmlns:a16="http://schemas.microsoft.com/office/drawing/2014/main" id="{63A3667C-B9B0-64BC-EE04-6184FAFE77B7}"/>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96" name="Group 17">
            <a:extLst>
              <a:ext uri="{FF2B5EF4-FFF2-40B4-BE49-F238E27FC236}">
                <a16:creationId xmlns:a16="http://schemas.microsoft.com/office/drawing/2014/main" id="{B9B5B23D-BD7A-AD30-BD70-8C2205639060}"/>
              </a:ext>
            </a:extLst>
          </xdr:cNvPr>
          <xdr:cNvGrpSpPr/>
        </xdr:nvGrpSpPr>
        <xdr:grpSpPr>
          <a:xfrm>
            <a:off x="15824200" y="282575"/>
            <a:ext cx="1463168" cy="1492505"/>
            <a:chOff x="15573375" y="189161"/>
            <a:chExt cx="1463168" cy="1502030"/>
          </a:xfrm>
        </xdr:grpSpPr>
        <xdr:sp macro="" textlink="">
          <xdr:nvSpPr>
            <xdr:cNvPr id="97" name="TextBox 11">
              <a:extLst>
                <a:ext uri="{FF2B5EF4-FFF2-40B4-BE49-F238E27FC236}">
                  <a16:creationId xmlns:a16="http://schemas.microsoft.com/office/drawing/2014/main" id="{4852CB04-0C09-D807-3465-D9795C0D6BD6}"/>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98" name="Picture 23">
              <a:extLst>
                <a:ext uri="{FF2B5EF4-FFF2-40B4-BE49-F238E27FC236}">
                  <a16:creationId xmlns:a16="http://schemas.microsoft.com/office/drawing/2014/main" id="{AA2EEBF2-5D03-2C3A-2507-3E086FDD94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twoCellAnchor editAs="oneCell">
    <xdr:from>
      <xdr:col>1</xdr:col>
      <xdr:colOff>8694964</xdr:colOff>
      <xdr:row>1</xdr:row>
      <xdr:rowOff>189140</xdr:rowOff>
    </xdr:from>
    <xdr:to>
      <xdr:col>1</xdr:col>
      <xdr:colOff>9145360</xdr:colOff>
      <xdr:row>1</xdr:row>
      <xdr:rowOff>639536</xdr:rowOff>
    </xdr:to>
    <xdr:pic>
      <xdr:nvPicPr>
        <xdr:cNvPr id="12" name="Picture 3">
          <a:hlinkClick xmlns:r="http://schemas.openxmlformats.org/officeDocument/2006/relationships" r:id="rId3"/>
          <a:extLst>
            <a:ext uri="{FF2B5EF4-FFF2-40B4-BE49-F238E27FC236}">
              <a16:creationId xmlns:a16="http://schemas.microsoft.com/office/drawing/2014/main" id="{C0060C56-45B1-FE4D-10CC-C425D09CCBAF}"/>
            </a:ext>
            <a:ext uri="{147F2762-F138-4A5C-976F-8EAC2B608ADB}">
              <a16:predDERef xmlns:a16="http://schemas.microsoft.com/office/drawing/2014/main" pred="{9C5F9DAC-82C4-DEA5-B759-2FABFA6671B3}"/>
            </a:ext>
          </a:extLst>
        </xdr:cNvPr>
        <xdr:cNvPicPr>
          <a:picLocks noChangeAspect="1"/>
        </xdr:cNvPicPr>
      </xdr:nvPicPr>
      <xdr:blipFill>
        <a:blip xmlns:r="http://schemas.openxmlformats.org/officeDocument/2006/relationships" r:embed="rId4"/>
        <a:stretch>
          <a:fillRect/>
        </a:stretch>
      </xdr:blipFill>
      <xdr:spPr>
        <a:xfrm>
          <a:off x="13294178" y="379640"/>
          <a:ext cx="450396" cy="450396"/>
        </a:xfrm>
        <a:prstGeom prst="rect">
          <a:avLst/>
        </a:prstGeom>
        <a:effectLst>
          <a:reflection blurRad="6350" stA="50000" endA="300" endPos="55000" dir="5400000" sy="-100000" algn="bl" rotWithShape="0"/>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152401</xdr:colOff>
      <xdr:row>1</xdr:row>
      <xdr:rowOff>1263925</xdr:rowOff>
    </xdr:from>
    <xdr:to>
      <xdr:col>2</xdr:col>
      <xdr:colOff>749301</xdr:colOff>
      <xdr:row>2</xdr:row>
      <xdr:rowOff>325916</xdr:rowOff>
    </xdr:to>
    <xdr:pic>
      <xdr:nvPicPr>
        <xdr:cNvPr id="68" name="Picture 61" descr="Maryland energy administration logo featuring solar panel, building, maryland flag">
          <a:extLst>
            <a:ext uri="{FF2B5EF4-FFF2-40B4-BE49-F238E27FC236}">
              <a16:creationId xmlns:a16="http://schemas.microsoft.com/office/drawing/2014/main" id="{9D6AAC0B-97DD-4ED1-ADC9-2FDF648998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1" y="1387750"/>
          <a:ext cx="4032250" cy="1147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117473</xdr:rowOff>
    </xdr:from>
    <xdr:to>
      <xdr:col>10</xdr:col>
      <xdr:colOff>9524</xdr:colOff>
      <xdr:row>1</xdr:row>
      <xdr:rowOff>1481453</xdr:rowOff>
    </xdr:to>
    <xdr:sp macro="" textlink="">
      <xdr:nvSpPr>
        <xdr:cNvPr id="69" name="TextBox 7">
          <a:extLst>
            <a:ext uri="{FF2B5EF4-FFF2-40B4-BE49-F238E27FC236}">
              <a16:creationId xmlns:a16="http://schemas.microsoft.com/office/drawing/2014/main" id="{FD3FA64D-EB93-4833-AD55-4BA6E9D5A3DF}"/>
            </a:ext>
          </a:extLst>
        </xdr:cNvPr>
        <xdr:cNvSpPr txBox="1"/>
      </xdr:nvSpPr>
      <xdr:spPr>
        <a:xfrm>
          <a:off x="0" y="117473"/>
          <a:ext cx="17154524" cy="1554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v.1.003</a:t>
          </a:r>
          <a:endParaRPr lang="en-US" sz="2000" b="1" i="0" baseline="0">
            <a:solidFill>
              <a:schemeClr val="dk1"/>
            </a:solidFill>
            <a:effectLst/>
            <a:latin typeface="Aptos Light" panose="020B0004020202020204" pitchFamily="34" charset="0"/>
            <a:ea typeface="+mn-ea"/>
            <a:cs typeface="+mn-cs"/>
          </a:endParaRPr>
        </a:p>
      </xdr:txBody>
    </xdr:sp>
    <xdr:clientData/>
  </xdr:twoCellAnchor>
  <xdr:twoCellAnchor>
    <xdr:from>
      <xdr:col>8</xdr:col>
      <xdr:colOff>1676400</xdr:colOff>
      <xdr:row>1</xdr:row>
      <xdr:rowOff>809625</xdr:rowOff>
    </xdr:from>
    <xdr:to>
      <xdr:col>10</xdr:col>
      <xdr:colOff>3174</xdr:colOff>
      <xdr:row>3</xdr:row>
      <xdr:rowOff>1</xdr:rowOff>
    </xdr:to>
    <xdr:grpSp>
      <xdr:nvGrpSpPr>
        <xdr:cNvPr id="2107" name="Group 4">
          <a:extLst>
            <a:ext uri="{FF2B5EF4-FFF2-40B4-BE49-F238E27FC236}">
              <a16:creationId xmlns:a16="http://schemas.microsoft.com/office/drawing/2014/main" id="{2EBD116E-891C-A303-12BC-BC37FF5DAD1E}"/>
            </a:ext>
          </a:extLst>
        </xdr:cNvPr>
        <xdr:cNvGrpSpPr>
          <a:grpSpLocks noChangeAspect="1"/>
        </xdr:cNvGrpSpPr>
      </xdr:nvGrpSpPr>
      <xdr:grpSpPr>
        <a:xfrm>
          <a:off x="15784286" y="1005568"/>
          <a:ext cx="1853745" cy="1966233"/>
          <a:chOff x="15681325" y="123825"/>
          <a:chExt cx="1762124" cy="1847851"/>
        </a:xfrm>
      </xdr:grpSpPr>
      <xdr:sp macro="" textlink="">
        <xdr:nvSpPr>
          <xdr:cNvPr id="2108" name="Flowchart: Delay 4">
            <a:extLst>
              <a:ext uri="{FF2B5EF4-FFF2-40B4-BE49-F238E27FC236}">
                <a16:creationId xmlns:a16="http://schemas.microsoft.com/office/drawing/2014/main" id="{44760A38-776D-4690-8470-5E9D44A3E64E}"/>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2109" name="Group 17">
            <a:extLst>
              <a:ext uri="{FF2B5EF4-FFF2-40B4-BE49-F238E27FC236}">
                <a16:creationId xmlns:a16="http://schemas.microsoft.com/office/drawing/2014/main" id="{941056E6-51AC-42AA-9D13-4095054828F0}"/>
              </a:ext>
            </a:extLst>
          </xdr:cNvPr>
          <xdr:cNvGrpSpPr/>
        </xdr:nvGrpSpPr>
        <xdr:grpSpPr>
          <a:xfrm>
            <a:off x="15824200" y="154705"/>
            <a:ext cx="1463168" cy="1492505"/>
            <a:chOff x="15573375" y="60471"/>
            <a:chExt cx="1463168" cy="1502030"/>
          </a:xfrm>
        </xdr:grpSpPr>
        <xdr:sp macro="" textlink="">
          <xdr:nvSpPr>
            <xdr:cNvPr id="2110" name="TextBox 11">
              <a:extLst>
                <a:ext uri="{FF2B5EF4-FFF2-40B4-BE49-F238E27FC236}">
                  <a16:creationId xmlns:a16="http://schemas.microsoft.com/office/drawing/2014/main" id="{1D360E4E-A78B-C42E-D153-FDDE02F10760}"/>
                </a:ext>
              </a:extLst>
            </xdr:cNvPr>
            <xdr:cNvSpPr txBox="1"/>
          </xdr:nvSpPr>
          <xdr:spPr>
            <a:xfrm>
              <a:off x="15573375" y="6047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2111" name="Picture 23">
              <a:extLst>
                <a:ext uri="{FF2B5EF4-FFF2-40B4-BE49-F238E27FC236}">
                  <a16:creationId xmlns:a16="http://schemas.microsoft.com/office/drawing/2014/main" id="{08E42DB7-1DD4-4FD0-455B-67C687B097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10147" y="617435"/>
              <a:ext cx="969601" cy="945066"/>
            </a:xfrm>
            <a:prstGeom prst="rect">
              <a:avLst/>
            </a:prstGeom>
          </xdr:spPr>
        </xdr:pic>
      </xdr:grp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176892</xdr:rowOff>
    </xdr:from>
    <xdr:to>
      <xdr:col>6</xdr:col>
      <xdr:colOff>0</xdr:colOff>
      <xdr:row>1</xdr:row>
      <xdr:rowOff>1554479</xdr:rowOff>
    </xdr:to>
    <xdr:sp macro="" textlink="">
      <xdr:nvSpPr>
        <xdr:cNvPr id="3" name="TextBox 7">
          <a:extLst>
            <a:ext uri="{FF2B5EF4-FFF2-40B4-BE49-F238E27FC236}">
              <a16:creationId xmlns:a16="http://schemas.microsoft.com/office/drawing/2014/main" id="{69BACC41-4A83-46D1-A9CB-B6FA163CF4EE}"/>
            </a:ext>
          </a:extLst>
        </xdr:cNvPr>
        <xdr:cNvSpPr txBox="1"/>
      </xdr:nvSpPr>
      <xdr:spPr>
        <a:xfrm>
          <a:off x="0" y="176892"/>
          <a:ext cx="15185571" cy="1554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v.1.003</a:t>
          </a:r>
          <a:endParaRPr lang="en-US" sz="2000" b="1" i="0" baseline="0">
            <a:solidFill>
              <a:schemeClr val="dk1"/>
            </a:solidFill>
            <a:effectLst/>
            <a:latin typeface="Aptos Light" panose="020B0004020202020204" pitchFamily="34" charset="0"/>
            <a:ea typeface="+mn-ea"/>
            <a:cs typeface="+mn-cs"/>
          </a:endParaRPr>
        </a:p>
      </xdr:txBody>
    </xdr:sp>
    <xdr:clientData/>
  </xdr:twoCellAnchor>
  <xdr:twoCellAnchor>
    <xdr:from>
      <xdr:col>5</xdr:col>
      <xdr:colOff>689883</xdr:colOff>
      <xdr:row>1</xdr:row>
      <xdr:rowOff>764722</xdr:rowOff>
    </xdr:from>
    <xdr:to>
      <xdr:col>6</xdr:col>
      <xdr:colOff>4082</xdr:colOff>
      <xdr:row>2</xdr:row>
      <xdr:rowOff>498023</xdr:rowOff>
    </xdr:to>
    <xdr:grpSp>
      <xdr:nvGrpSpPr>
        <xdr:cNvPr id="47" name="Group 3">
          <a:extLst>
            <a:ext uri="{FF2B5EF4-FFF2-40B4-BE49-F238E27FC236}">
              <a16:creationId xmlns:a16="http://schemas.microsoft.com/office/drawing/2014/main" id="{501228D9-5967-4E13-938A-B8D881D5F912}"/>
            </a:ext>
          </a:extLst>
        </xdr:cNvPr>
        <xdr:cNvGrpSpPr>
          <a:grpSpLocks noChangeAspect="1"/>
        </xdr:cNvGrpSpPr>
      </xdr:nvGrpSpPr>
      <xdr:grpSpPr>
        <a:xfrm>
          <a:off x="13850712" y="938893"/>
          <a:ext cx="1763484" cy="1845130"/>
          <a:chOff x="15681325" y="123825"/>
          <a:chExt cx="1762124" cy="1847851"/>
        </a:xfrm>
      </xdr:grpSpPr>
      <xdr:sp macro="" textlink="">
        <xdr:nvSpPr>
          <xdr:cNvPr id="48" name="Flowchart: Delay 4">
            <a:extLst>
              <a:ext uri="{FF2B5EF4-FFF2-40B4-BE49-F238E27FC236}">
                <a16:creationId xmlns:a16="http://schemas.microsoft.com/office/drawing/2014/main" id="{87D2D891-91C1-FE6F-C3E2-9885E95638F3}"/>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9" name="Group 17">
            <a:extLst>
              <a:ext uri="{FF2B5EF4-FFF2-40B4-BE49-F238E27FC236}">
                <a16:creationId xmlns:a16="http://schemas.microsoft.com/office/drawing/2014/main" id="{2E705B90-33CB-A224-2FD6-B30E55203CFF}"/>
              </a:ext>
            </a:extLst>
          </xdr:cNvPr>
          <xdr:cNvGrpSpPr/>
        </xdr:nvGrpSpPr>
        <xdr:grpSpPr>
          <a:xfrm>
            <a:off x="15824200" y="282575"/>
            <a:ext cx="1463168" cy="1492505"/>
            <a:chOff x="15573375" y="189161"/>
            <a:chExt cx="1463168" cy="1502030"/>
          </a:xfrm>
        </xdr:grpSpPr>
        <xdr:sp macro="" textlink="">
          <xdr:nvSpPr>
            <xdr:cNvPr id="50" name="TextBox 11">
              <a:extLst>
                <a:ext uri="{FF2B5EF4-FFF2-40B4-BE49-F238E27FC236}">
                  <a16:creationId xmlns:a16="http://schemas.microsoft.com/office/drawing/2014/main" id="{C1E8C5BF-1F1E-E921-785D-7C5439248AB9}"/>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51" name="Picture 23">
              <a:extLst>
                <a:ext uri="{FF2B5EF4-FFF2-40B4-BE49-F238E27FC236}">
                  <a16:creationId xmlns:a16="http://schemas.microsoft.com/office/drawing/2014/main" id="{24532035-778F-4868-DE3A-5AEFE68E14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twoCellAnchor editAs="oneCell">
    <xdr:from>
      <xdr:col>0</xdr:col>
      <xdr:colOff>57227</xdr:colOff>
      <xdr:row>1</xdr:row>
      <xdr:rowOff>1354928</xdr:rowOff>
    </xdr:from>
    <xdr:to>
      <xdr:col>1</xdr:col>
      <xdr:colOff>884464</xdr:colOff>
      <xdr:row>2</xdr:row>
      <xdr:rowOff>285037</xdr:rowOff>
    </xdr:to>
    <xdr:pic>
      <xdr:nvPicPr>
        <xdr:cNvPr id="4" name="Picture 61" descr="Maryland energy administration logo featuring solar panel, building, maryland flag">
          <a:extLst>
            <a:ext uri="{FF2B5EF4-FFF2-40B4-BE49-F238E27FC236}">
              <a16:creationId xmlns:a16="http://schemas.microsoft.com/office/drawing/2014/main" id="{0319E02A-E009-48D7-802D-611CB2AB85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227" y="1531821"/>
          <a:ext cx="3657523" cy="1039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1279072</xdr:colOff>
      <xdr:row>1</xdr:row>
      <xdr:rowOff>122465</xdr:rowOff>
    </xdr:from>
    <xdr:to>
      <xdr:col>5</xdr:col>
      <xdr:colOff>1729468</xdr:colOff>
      <xdr:row>1</xdr:row>
      <xdr:rowOff>572861</xdr:rowOff>
    </xdr:to>
    <xdr:pic>
      <xdr:nvPicPr>
        <xdr:cNvPr id="7" name="Picture 3">
          <a:hlinkClick xmlns:r="http://schemas.openxmlformats.org/officeDocument/2006/relationships" r:id="rId3"/>
          <a:extLst>
            <a:ext uri="{FF2B5EF4-FFF2-40B4-BE49-F238E27FC236}">
              <a16:creationId xmlns:a16="http://schemas.microsoft.com/office/drawing/2014/main" id="{929B5879-20CB-4ECF-AC26-33826473AA03}"/>
            </a:ext>
            <a:ext uri="{147F2762-F138-4A5C-976F-8EAC2B608ADB}">
              <a16:predDERef xmlns:a16="http://schemas.microsoft.com/office/drawing/2014/main" pred="{9C5F9DAC-82C4-DEA5-B759-2FABFA6671B3}"/>
            </a:ext>
          </a:extLst>
        </xdr:cNvPr>
        <xdr:cNvPicPr>
          <a:picLocks noChangeAspect="1"/>
        </xdr:cNvPicPr>
      </xdr:nvPicPr>
      <xdr:blipFill>
        <a:blip xmlns:r="http://schemas.openxmlformats.org/officeDocument/2006/relationships" r:embed="rId4"/>
        <a:stretch>
          <a:fillRect/>
        </a:stretch>
      </xdr:blipFill>
      <xdr:spPr>
        <a:xfrm>
          <a:off x="14083393" y="299358"/>
          <a:ext cx="450396" cy="450396"/>
        </a:xfrm>
        <a:prstGeom prst="rect">
          <a:avLst/>
        </a:prstGeom>
        <a:effectLst>
          <a:reflection blurRad="6350" stA="50000" endA="300" endPos="55000" dir="5400000" sy="-100000" algn="bl" rotWithShape="0"/>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119061</xdr:colOff>
      <xdr:row>1</xdr:row>
      <xdr:rowOff>1235350</xdr:rowOff>
    </xdr:from>
    <xdr:to>
      <xdr:col>2</xdr:col>
      <xdr:colOff>775608</xdr:colOff>
      <xdr:row>2</xdr:row>
      <xdr:rowOff>323231</xdr:rowOff>
    </xdr:to>
    <xdr:pic>
      <xdr:nvPicPr>
        <xdr:cNvPr id="57" name="Picture 61" descr="Maryland energy administration logo featuring solar panel, building, maryland flag">
          <a:extLst>
            <a:ext uri="{FF2B5EF4-FFF2-40B4-BE49-F238E27FC236}">
              <a16:creationId xmlns:a16="http://schemas.microsoft.com/office/drawing/2014/main" id="{BBAF7ACC-2984-4B8B-8864-A3F5808C85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61" y="1359175"/>
          <a:ext cx="4071940" cy="1173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114300</xdr:rowOff>
    </xdr:from>
    <xdr:to>
      <xdr:col>10</xdr:col>
      <xdr:colOff>9525</xdr:colOff>
      <xdr:row>1</xdr:row>
      <xdr:rowOff>1464673</xdr:rowOff>
    </xdr:to>
    <xdr:sp macro="" textlink="">
      <xdr:nvSpPr>
        <xdr:cNvPr id="3" name="TextBox 2">
          <a:extLst>
            <a:ext uri="{FF2B5EF4-FFF2-40B4-BE49-F238E27FC236}">
              <a16:creationId xmlns:a16="http://schemas.microsoft.com/office/drawing/2014/main" id="{ED610FCB-5C2B-41B9-9CB9-9AD58959CB5E}"/>
            </a:ext>
          </a:extLst>
        </xdr:cNvPr>
        <xdr:cNvSpPr txBox="1"/>
      </xdr:nvSpPr>
      <xdr:spPr>
        <a:xfrm>
          <a:off x="0" y="114300"/>
          <a:ext cx="17154525" cy="1554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v.1.003</a:t>
          </a:r>
          <a:endParaRPr lang="en-US" sz="2000" b="1" i="0" baseline="0">
            <a:solidFill>
              <a:schemeClr val="dk1"/>
            </a:solidFill>
            <a:effectLst/>
            <a:latin typeface="Aptos Light" panose="020B0004020202020204" pitchFamily="34" charset="0"/>
            <a:ea typeface="+mn-ea"/>
            <a:cs typeface="+mn-cs"/>
          </a:endParaRPr>
        </a:p>
      </xdr:txBody>
    </xdr:sp>
    <xdr:clientData/>
  </xdr:twoCellAnchor>
  <xdr:twoCellAnchor>
    <xdr:from>
      <xdr:col>8</xdr:col>
      <xdr:colOff>1666876</xdr:colOff>
      <xdr:row>1</xdr:row>
      <xdr:rowOff>782412</xdr:rowOff>
    </xdr:from>
    <xdr:to>
      <xdr:col>10</xdr:col>
      <xdr:colOff>0</xdr:colOff>
      <xdr:row>2</xdr:row>
      <xdr:rowOff>544288</xdr:rowOff>
    </xdr:to>
    <xdr:grpSp>
      <xdr:nvGrpSpPr>
        <xdr:cNvPr id="7" name="Group 6">
          <a:extLst>
            <a:ext uri="{FF2B5EF4-FFF2-40B4-BE49-F238E27FC236}">
              <a16:creationId xmlns:a16="http://schemas.microsoft.com/office/drawing/2014/main" id="{6DCBF44E-3827-9365-7372-7C059CDFF119}"/>
            </a:ext>
          </a:extLst>
        </xdr:cNvPr>
        <xdr:cNvGrpSpPr>
          <a:grpSpLocks noChangeAspect="1"/>
        </xdr:cNvGrpSpPr>
      </xdr:nvGrpSpPr>
      <xdr:grpSpPr>
        <a:xfrm>
          <a:off x="15774762" y="978355"/>
          <a:ext cx="1860095" cy="1841047"/>
          <a:chOff x="14620876" y="123827"/>
          <a:chExt cx="1762124" cy="1847851"/>
        </a:xfrm>
      </xdr:grpSpPr>
      <xdr:sp macro="" textlink="">
        <xdr:nvSpPr>
          <xdr:cNvPr id="29" name="Flowchart: Delay 8">
            <a:extLst>
              <a:ext uri="{FF2B5EF4-FFF2-40B4-BE49-F238E27FC236}">
                <a16:creationId xmlns:a16="http://schemas.microsoft.com/office/drawing/2014/main" id="{D7ABAF96-FA3C-4939-A6B7-9A0B8A13B39A}"/>
              </a:ext>
            </a:extLst>
          </xdr:cNvPr>
          <xdr:cNvSpPr/>
        </xdr:nvSpPr>
        <xdr:spPr>
          <a:xfrm flipH="1">
            <a:off x="14620876" y="123827"/>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30" name="Group 3">
            <a:extLst>
              <a:ext uri="{FF2B5EF4-FFF2-40B4-BE49-F238E27FC236}">
                <a16:creationId xmlns:a16="http://schemas.microsoft.com/office/drawing/2014/main" id="{2CD07435-D588-41C3-B7D6-2C05CA4208D0}"/>
              </a:ext>
            </a:extLst>
          </xdr:cNvPr>
          <xdr:cNvGrpSpPr/>
        </xdr:nvGrpSpPr>
        <xdr:grpSpPr>
          <a:xfrm>
            <a:off x="14779625" y="250825"/>
            <a:ext cx="1456818" cy="1508380"/>
            <a:chOff x="15573375" y="189161"/>
            <a:chExt cx="1463168" cy="1502030"/>
          </a:xfrm>
        </xdr:grpSpPr>
        <xdr:sp macro="" textlink="">
          <xdr:nvSpPr>
            <xdr:cNvPr id="31" name="TextBox 11">
              <a:extLst>
                <a:ext uri="{FF2B5EF4-FFF2-40B4-BE49-F238E27FC236}">
                  <a16:creationId xmlns:a16="http://schemas.microsoft.com/office/drawing/2014/main" id="{B845B2B4-81B5-5404-A116-7C1FE842B4ED}"/>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32" name="Picture 23">
              <a:extLst>
                <a:ext uri="{FF2B5EF4-FFF2-40B4-BE49-F238E27FC236}">
                  <a16:creationId xmlns:a16="http://schemas.microsoft.com/office/drawing/2014/main" id="{11E91113-901C-9BA8-0D7A-AB42EEBFB5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twoCellAnchor editAs="oneCell">
    <xdr:from>
      <xdr:col>9</xdr:col>
      <xdr:colOff>625929</xdr:colOff>
      <xdr:row>1</xdr:row>
      <xdr:rowOff>122465</xdr:rowOff>
    </xdr:from>
    <xdr:to>
      <xdr:col>9</xdr:col>
      <xdr:colOff>1076325</xdr:colOff>
      <xdr:row>1</xdr:row>
      <xdr:rowOff>572861</xdr:rowOff>
    </xdr:to>
    <xdr:pic>
      <xdr:nvPicPr>
        <xdr:cNvPr id="4" name="Picture 3">
          <a:hlinkClick xmlns:r="http://schemas.openxmlformats.org/officeDocument/2006/relationships" r:id="rId3"/>
          <a:extLst>
            <a:ext uri="{FF2B5EF4-FFF2-40B4-BE49-F238E27FC236}">
              <a16:creationId xmlns:a16="http://schemas.microsoft.com/office/drawing/2014/main" id="{9E0EB9AB-1BE6-478B-A5D3-BB68191C8BB5}"/>
            </a:ext>
            <a:ext uri="{147F2762-F138-4A5C-976F-8EAC2B608ADB}">
              <a16:predDERef xmlns:a16="http://schemas.microsoft.com/office/drawing/2014/main" pred="{9C5F9DAC-82C4-DEA5-B759-2FABFA6671B3}"/>
            </a:ext>
          </a:extLst>
        </xdr:cNvPr>
        <xdr:cNvPicPr>
          <a:picLocks noChangeAspect="1"/>
        </xdr:cNvPicPr>
      </xdr:nvPicPr>
      <xdr:blipFill>
        <a:blip xmlns:r="http://schemas.openxmlformats.org/officeDocument/2006/relationships" r:embed="rId4"/>
        <a:stretch>
          <a:fillRect/>
        </a:stretch>
      </xdr:blipFill>
      <xdr:spPr>
        <a:xfrm>
          <a:off x="16056429" y="326572"/>
          <a:ext cx="450396" cy="450396"/>
        </a:xfrm>
        <a:prstGeom prst="rect">
          <a:avLst/>
        </a:prstGeom>
        <a:effectLst>
          <a:reflection blurRad="6350" stA="50000" endA="300" endPos="55000" dir="5400000" sy="-100000" algn="bl" rotWithShape="0"/>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1034143</xdr:colOff>
      <xdr:row>0</xdr:row>
      <xdr:rowOff>54429</xdr:rowOff>
    </xdr:from>
    <xdr:to>
      <xdr:col>3</xdr:col>
      <xdr:colOff>1484539</xdr:colOff>
      <xdr:row>0</xdr:row>
      <xdr:rowOff>504825</xdr:rowOff>
    </xdr:to>
    <xdr:pic>
      <xdr:nvPicPr>
        <xdr:cNvPr id="3" name="Picture 2">
          <a:hlinkClick xmlns:r="http://schemas.openxmlformats.org/officeDocument/2006/relationships" r:id="rId1"/>
          <a:extLst>
            <a:ext uri="{FF2B5EF4-FFF2-40B4-BE49-F238E27FC236}">
              <a16:creationId xmlns:a16="http://schemas.microsoft.com/office/drawing/2014/main" id="{4DF00D7E-79EA-4C2B-BED3-26471CB5EE51}"/>
            </a:ext>
            <a:ext uri="{147F2762-F138-4A5C-976F-8EAC2B608ADB}">
              <a16:predDERef xmlns:a16="http://schemas.microsoft.com/office/drawing/2014/main" pred="{9C5F9DAC-82C4-DEA5-B759-2FABFA6671B3}"/>
            </a:ext>
          </a:extLst>
        </xdr:cNvPr>
        <xdr:cNvPicPr>
          <a:picLocks noChangeAspect="1"/>
        </xdr:cNvPicPr>
      </xdr:nvPicPr>
      <xdr:blipFill>
        <a:blip xmlns:r="http://schemas.openxmlformats.org/officeDocument/2006/relationships" r:embed="rId2"/>
        <a:stretch>
          <a:fillRect/>
        </a:stretch>
      </xdr:blipFill>
      <xdr:spPr>
        <a:xfrm>
          <a:off x="4640036" y="54429"/>
          <a:ext cx="450396" cy="450396"/>
        </a:xfrm>
        <a:prstGeom prst="rect">
          <a:avLst/>
        </a:prstGeom>
        <a:effectLst>
          <a:reflection blurRad="6350" stA="50000" endA="300" endPos="55000" dir="5400000" sy="-100000" algn="bl" rotWithShape="0"/>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2544536</xdr:colOff>
      <xdr:row>0</xdr:row>
      <xdr:rowOff>40821</xdr:rowOff>
    </xdr:from>
    <xdr:to>
      <xdr:col>3</xdr:col>
      <xdr:colOff>2994932</xdr:colOff>
      <xdr:row>0</xdr:row>
      <xdr:rowOff>491217</xdr:rowOff>
    </xdr:to>
    <xdr:pic>
      <xdr:nvPicPr>
        <xdr:cNvPr id="2" name="Picture 1">
          <a:hlinkClick xmlns:r="http://schemas.openxmlformats.org/officeDocument/2006/relationships" r:id="rId1"/>
          <a:extLst>
            <a:ext uri="{FF2B5EF4-FFF2-40B4-BE49-F238E27FC236}">
              <a16:creationId xmlns:a16="http://schemas.microsoft.com/office/drawing/2014/main" id="{4BFA33C4-76B3-4341-AA75-9EBAAF8340A8}"/>
            </a:ext>
            <a:ext uri="{147F2762-F138-4A5C-976F-8EAC2B608ADB}">
              <a16:predDERef xmlns:a16="http://schemas.microsoft.com/office/drawing/2014/main" pred="{9C5F9DAC-82C4-DEA5-B759-2FABFA6671B3}"/>
            </a:ext>
          </a:extLst>
        </xdr:cNvPr>
        <xdr:cNvPicPr>
          <a:picLocks noChangeAspect="1"/>
        </xdr:cNvPicPr>
      </xdr:nvPicPr>
      <xdr:blipFill>
        <a:blip xmlns:r="http://schemas.openxmlformats.org/officeDocument/2006/relationships" r:embed="rId2"/>
        <a:stretch>
          <a:fillRect/>
        </a:stretch>
      </xdr:blipFill>
      <xdr:spPr>
        <a:xfrm>
          <a:off x="12123965" y="40821"/>
          <a:ext cx="450396" cy="450396"/>
        </a:xfrm>
        <a:prstGeom prst="rect">
          <a:avLst/>
        </a:prstGeom>
        <a:effectLst>
          <a:reflection blurRad="6350" stA="50000" endA="300" endPos="55000" dir="5400000" sy="-100000" algn="bl" rotWithShape="0"/>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312964</xdr:colOff>
      <xdr:row>0</xdr:row>
      <xdr:rowOff>68036</xdr:rowOff>
    </xdr:from>
    <xdr:to>
      <xdr:col>5</xdr:col>
      <xdr:colOff>763360</xdr:colOff>
      <xdr:row>0</xdr:row>
      <xdr:rowOff>518432</xdr:rowOff>
    </xdr:to>
    <xdr:pic>
      <xdr:nvPicPr>
        <xdr:cNvPr id="3" name="Picture 2">
          <a:hlinkClick xmlns:r="http://schemas.openxmlformats.org/officeDocument/2006/relationships" r:id="rId1"/>
          <a:extLst>
            <a:ext uri="{FF2B5EF4-FFF2-40B4-BE49-F238E27FC236}">
              <a16:creationId xmlns:a16="http://schemas.microsoft.com/office/drawing/2014/main" id="{89793926-DC7F-4A3F-9635-876F6E466BE2}"/>
            </a:ext>
            <a:ext uri="{147F2762-F138-4A5C-976F-8EAC2B608ADB}">
              <a16:predDERef xmlns:a16="http://schemas.microsoft.com/office/drawing/2014/main" pred="{9C5F9DAC-82C4-DEA5-B759-2FABFA6671B3}"/>
            </a:ext>
          </a:extLst>
        </xdr:cNvPr>
        <xdr:cNvPicPr>
          <a:picLocks noChangeAspect="1"/>
        </xdr:cNvPicPr>
      </xdr:nvPicPr>
      <xdr:blipFill>
        <a:blip xmlns:r="http://schemas.openxmlformats.org/officeDocument/2006/relationships" r:embed="rId2"/>
        <a:stretch>
          <a:fillRect/>
        </a:stretch>
      </xdr:blipFill>
      <xdr:spPr>
        <a:xfrm>
          <a:off x="16219714" y="68036"/>
          <a:ext cx="450396" cy="450396"/>
        </a:xfrm>
        <a:prstGeom prst="rect">
          <a:avLst/>
        </a:prstGeom>
        <a:effectLst>
          <a:reflection blurRad="6350" stA="50000" endA="300" endPos="55000" dir="5400000" sy="-100000" algn="bl" rotWithShape="0"/>
        </a:effec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mde.maryland.gov/Environmental_Justice/Pages/MDEnviroScreen.aspx" TargetMode="External"/><Relationship Id="rId7" Type="http://schemas.openxmlformats.org/officeDocument/2006/relationships/vmlDrawing" Target="../drawings/vmlDrawing1.vml"/><Relationship Id="rId2" Type="http://schemas.openxmlformats.org/officeDocument/2006/relationships/hyperlink" Target="https://www.montgomerycountymd.gov/department-environmental-protection/energy/energy-commercial-multifamily/covered-buildings-deadlines" TargetMode="External"/><Relationship Id="rId1" Type="http://schemas.openxmlformats.org/officeDocument/2006/relationships/hyperlink" Target="https://mde.maryland.gov/programs/air/ClimateChange/Clean-Buildings/Pages/BEPS.aspx" TargetMode="External"/><Relationship Id="rId6" Type="http://schemas.openxmlformats.org/officeDocument/2006/relationships/drawing" Target="../drawings/drawing2.xml"/><Relationship Id="rId5" Type="http://schemas.openxmlformats.org/officeDocument/2006/relationships/printerSettings" Target="../printerSettings/printerSettings1.bin"/><Relationship Id="rId4" Type="http://schemas.openxmlformats.org/officeDocument/2006/relationships/hyperlink" Target="https://experience.arcgis.com/experience/8b24a4ffb5ee4670af96d7b174c1933b/"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s://www.eia.gov/state/data.php?sid=MD" TargetMode="External"/><Relationship Id="rId7" Type="http://schemas.openxmlformats.org/officeDocument/2006/relationships/vmlDrawing" Target="../drawings/vmlDrawing2.vml"/><Relationship Id="rId2" Type="http://schemas.openxmlformats.org/officeDocument/2006/relationships/hyperlink" Target="https://www.eia.gov/state/data.php?sid=MD" TargetMode="External"/><Relationship Id="rId1" Type="http://schemas.openxmlformats.org/officeDocument/2006/relationships/hyperlink" Target="https://www.eia.gov/dnav/pet/hist/LeafHandler.ashx?n=PET&amp;s=W_EPD2F_PWR_SMD_DPG&amp;f=W" TargetMode="External"/><Relationship Id="rId6" Type="http://schemas.openxmlformats.org/officeDocument/2006/relationships/drawing" Target="../drawings/drawing5.xml"/><Relationship Id="rId5" Type="http://schemas.openxmlformats.org/officeDocument/2006/relationships/printerSettings" Target="../printerSettings/printerSettings3.bin"/><Relationship Id="rId4" Type="http://schemas.openxmlformats.org/officeDocument/2006/relationships/hyperlink" Target="https://www.eia.gov/states/MD/data/dashboard/coa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5FF5C-8A0B-422F-9040-CC8BCA052800}">
  <sheetPr>
    <tabColor theme="9" tint="0.79998168889431442"/>
  </sheetPr>
  <dimension ref="A1:H33"/>
  <sheetViews>
    <sheetView showGridLines="0" zoomScale="70" zoomScaleNormal="70" workbookViewId="0">
      <selection activeCell="C4" sqref="C4"/>
    </sheetView>
  </sheetViews>
  <sheetFormatPr defaultColWidth="8.6640625" defaultRowHeight="13.2" x14ac:dyDescent="0.25"/>
  <cols>
    <col min="1" max="1" width="69" customWidth="1"/>
    <col min="2" max="2" width="146.6640625" customWidth="1"/>
  </cols>
  <sheetData>
    <row r="1" spans="1:8" ht="15" customHeight="1" x14ac:dyDescent="0.25">
      <c r="A1" s="85"/>
      <c r="B1" s="86"/>
    </row>
    <row r="2" spans="1:8" ht="166.5" customHeight="1" x14ac:dyDescent="0.25">
      <c r="A2" s="87"/>
      <c r="B2" s="88"/>
    </row>
    <row r="3" spans="1:8" s="89" customFormat="1" ht="39.75" customHeight="1" x14ac:dyDescent="0.3">
      <c r="A3" s="301" t="s">
        <v>0</v>
      </c>
      <c r="B3" s="302"/>
      <c r="C3"/>
      <c r="D3"/>
      <c r="E3"/>
      <c r="F3"/>
      <c r="G3"/>
      <c r="H3"/>
    </row>
    <row r="4" spans="1:8" ht="192.75" customHeight="1" x14ac:dyDescent="0.4">
      <c r="A4" s="299" t="s">
        <v>383</v>
      </c>
      <c r="B4" s="300"/>
    </row>
    <row r="5" spans="1:8" s="29" customFormat="1" ht="13.5" customHeight="1" x14ac:dyDescent="0.3">
      <c r="A5" s="90"/>
      <c r="B5" s="91"/>
      <c r="C5"/>
      <c r="D5"/>
      <c r="E5"/>
      <c r="F5"/>
      <c r="G5"/>
      <c r="H5"/>
    </row>
    <row r="6" spans="1:8" s="92" customFormat="1" ht="43.5" customHeight="1" x14ac:dyDescent="0.25">
      <c r="A6" s="303" t="s">
        <v>1</v>
      </c>
      <c r="B6" s="304"/>
    </row>
    <row r="7" spans="1:8" ht="43.5" customHeight="1" x14ac:dyDescent="0.25">
      <c r="A7" s="290" t="s">
        <v>2</v>
      </c>
      <c r="B7" s="291" t="s">
        <v>3</v>
      </c>
    </row>
    <row r="8" spans="1:8" ht="170.1" customHeight="1" x14ac:dyDescent="0.25">
      <c r="A8" s="292" t="s">
        <v>4</v>
      </c>
      <c r="B8" s="293" t="s">
        <v>5</v>
      </c>
    </row>
    <row r="9" spans="1:8" ht="84" customHeight="1" x14ac:dyDescent="0.25">
      <c r="A9" s="292" t="s">
        <v>6</v>
      </c>
      <c r="B9" s="293" t="s">
        <v>7</v>
      </c>
    </row>
    <row r="10" spans="1:8" ht="65.099999999999994" customHeight="1" x14ac:dyDescent="0.25">
      <c r="A10" s="292" t="s">
        <v>8</v>
      </c>
      <c r="B10" s="293" t="s">
        <v>9</v>
      </c>
    </row>
    <row r="11" spans="1:8" ht="132.75" customHeight="1" x14ac:dyDescent="0.25">
      <c r="A11" s="292" t="s">
        <v>10</v>
      </c>
      <c r="B11" s="293" t="s">
        <v>366</v>
      </c>
    </row>
    <row r="12" spans="1:8" ht="84" customHeight="1" x14ac:dyDescent="0.25">
      <c r="A12" s="292" t="s">
        <v>11</v>
      </c>
      <c r="B12" s="293" t="s">
        <v>12</v>
      </c>
    </row>
    <row r="13" spans="1:8" ht="65.099999999999994" customHeight="1" x14ac:dyDescent="0.25">
      <c r="A13" s="292" t="s">
        <v>13</v>
      </c>
      <c r="B13" s="293" t="s">
        <v>14</v>
      </c>
    </row>
    <row r="14" spans="1:8" ht="84" customHeight="1" x14ac:dyDescent="0.25">
      <c r="A14" s="292" t="s">
        <v>15</v>
      </c>
      <c r="B14" s="293" t="s">
        <v>16</v>
      </c>
    </row>
    <row r="15" spans="1:8" ht="84" customHeight="1" x14ac:dyDescent="0.25">
      <c r="A15" s="292" t="s">
        <v>17</v>
      </c>
      <c r="B15" s="293" t="s">
        <v>18</v>
      </c>
    </row>
    <row r="16" spans="1:8" ht="149.25" customHeight="1" x14ac:dyDescent="0.25">
      <c r="A16" s="294" t="s">
        <v>19</v>
      </c>
      <c r="B16" s="295" t="s">
        <v>20</v>
      </c>
    </row>
    <row r="17" spans="1:8" s="29" customFormat="1" ht="13.5" customHeight="1" x14ac:dyDescent="0.3">
      <c r="A17" s="90"/>
      <c r="B17" s="91"/>
      <c r="C17"/>
      <c r="D17"/>
      <c r="E17"/>
      <c r="F17"/>
      <c r="G17"/>
      <c r="H17"/>
    </row>
    <row r="18" spans="1:8" s="29" customFormat="1" ht="43.5" customHeight="1" x14ac:dyDescent="0.3">
      <c r="A18" s="303" t="s">
        <v>21</v>
      </c>
      <c r="B18" s="305"/>
      <c r="C18"/>
      <c r="D18"/>
      <c r="E18"/>
      <c r="F18"/>
      <c r="G18"/>
      <c r="H18"/>
    </row>
    <row r="19" spans="1:8" s="29" customFormat="1" ht="43.5" customHeight="1" x14ac:dyDescent="0.3">
      <c r="A19" s="290" t="s">
        <v>2</v>
      </c>
      <c r="B19" s="291" t="s">
        <v>3</v>
      </c>
      <c r="C19"/>
      <c r="D19"/>
      <c r="E19"/>
      <c r="F19"/>
      <c r="G19"/>
      <c r="H19"/>
    </row>
    <row r="20" spans="1:8" s="29" customFormat="1" ht="65.099999999999994" customHeight="1" x14ac:dyDescent="0.3">
      <c r="A20" s="292" t="s">
        <v>22</v>
      </c>
      <c r="B20" s="293" t="s">
        <v>23</v>
      </c>
      <c r="C20"/>
      <c r="D20"/>
      <c r="E20"/>
      <c r="F20"/>
      <c r="G20"/>
      <c r="H20"/>
    </row>
    <row r="21" spans="1:8" s="29" customFormat="1" ht="84" customHeight="1" x14ac:dyDescent="0.3">
      <c r="A21" s="292" t="s">
        <v>24</v>
      </c>
      <c r="B21" s="293" t="s">
        <v>25</v>
      </c>
      <c r="C21"/>
      <c r="D21"/>
      <c r="E21"/>
      <c r="F21"/>
      <c r="G21"/>
      <c r="H21"/>
    </row>
    <row r="22" spans="1:8" s="29" customFormat="1" ht="65.099999999999994" customHeight="1" x14ac:dyDescent="0.3">
      <c r="A22" s="294" t="s">
        <v>26</v>
      </c>
      <c r="B22" s="295" t="s">
        <v>27</v>
      </c>
      <c r="C22"/>
      <c r="D22"/>
      <c r="E22"/>
      <c r="F22"/>
      <c r="G22"/>
      <c r="H22"/>
    </row>
    <row r="23" spans="1:8" s="29" customFormat="1" ht="13.5" customHeight="1" x14ac:dyDescent="0.3">
      <c r="A23" s="90"/>
      <c r="B23" s="91"/>
      <c r="C23"/>
      <c r="D23"/>
      <c r="E23"/>
      <c r="F23"/>
      <c r="G23"/>
      <c r="H23"/>
    </row>
    <row r="24" spans="1:8" s="93" customFormat="1" ht="43.5" customHeight="1" x14ac:dyDescent="0.4">
      <c r="A24" s="303" t="s">
        <v>28</v>
      </c>
      <c r="B24" s="304"/>
    </row>
    <row r="25" spans="1:8" ht="43.5" customHeight="1" x14ac:dyDescent="0.25">
      <c r="A25" s="290" t="s">
        <v>2</v>
      </c>
      <c r="B25" s="291" t="s">
        <v>3</v>
      </c>
    </row>
    <row r="26" spans="1:8" ht="84" customHeight="1" x14ac:dyDescent="0.25">
      <c r="A26" s="292" t="s">
        <v>29</v>
      </c>
      <c r="B26" s="293" t="s">
        <v>30</v>
      </c>
    </row>
    <row r="27" spans="1:8" ht="84" customHeight="1" x14ac:dyDescent="0.25">
      <c r="A27" s="292" t="s">
        <v>31</v>
      </c>
      <c r="B27" s="293" t="s">
        <v>32</v>
      </c>
    </row>
    <row r="28" spans="1:8" ht="84" customHeight="1" x14ac:dyDescent="0.25">
      <c r="A28" s="292" t="s">
        <v>33</v>
      </c>
      <c r="B28" s="293" t="s">
        <v>34</v>
      </c>
    </row>
    <row r="29" spans="1:8" ht="65.099999999999994" customHeight="1" x14ac:dyDescent="0.25">
      <c r="A29" s="292" t="s">
        <v>35</v>
      </c>
      <c r="B29" s="293" t="s">
        <v>36</v>
      </c>
    </row>
    <row r="30" spans="1:8" ht="84" customHeight="1" x14ac:dyDescent="0.25">
      <c r="A30" s="294" t="s">
        <v>37</v>
      </c>
      <c r="B30" s="295" t="s">
        <v>38</v>
      </c>
    </row>
    <row r="31" spans="1:8" s="29" customFormat="1" ht="13.5" customHeight="1" x14ac:dyDescent="0.3">
      <c r="A31" s="94"/>
      <c r="B31" s="94"/>
      <c r="C31"/>
      <c r="D31"/>
      <c r="E31"/>
      <c r="F31"/>
      <c r="G31"/>
      <c r="H31"/>
    </row>
    <row r="32" spans="1:8" s="29" customFormat="1" ht="18" customHeight="1" x14ac:dyDescent="0.3">
      <c r="A32" s="95"/>
      <c r="B32" s="95"/>
      <c r="C32"/>
      <c r="D32"/>
      <c r="E32"/>
      <c r="F32"/>
      <c r="G32"/>
      <c r="H32"/>
    </row>
    <row r="33" spans="1:8" s="29" customFormat="1" ht="7.5" customHeight="1" x14ac:dyDescent="0.3">
      <c r="A33" s="96"/>
      <c r="B33" s="96"/>
      <c r="C33"/>
      <c r="D33"/>
      <c r="E33"/>
      <c r="F33"/>
      <c r="G33"/>
      <c r="H33"/>
    </row>
  </sheetData>
  <sheetProtection algorithmName="SHA-512" hashValue="QarEnpG8j6IcxJOq3FCUXUtxjTlY6mwSbF+0jCBlozdtLEZ8ghBJJVaHANInfRYYii62NicuLhnMkTIO9/Om7g==" saltValue="0hkWqqmKhRtXcv9njH1hmQ==" spinCount="100000" sheet="1" objects="1" scenarios="1"/>
  <mergeCells count="5">
    <mergeCell ref="A4:B4"/>
    <mergeCell ref="A3:B3"/>
    <mergeCell ref="A6:B6"/>
    <mergeCell ref="A24:B24"/>
    <mergeCell ref="A18:B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7AFE7-A0E7-4E66-8FC4-C34062F0A7BF}">
  <sheetPr>
    <tabColor rgb="FFFFC000"/>
    <pageSetUpPr autoPageBreaks="0"/>
  </sheetPr>
  <dimension ref="A1:R80"/>
  <sheetViews>
    <sheetView showGridLines="0" tabSelected="1" zoomScale="70" zoomScaleNormal="70" workbookViewId="0">
      <selection activeCell="K8" sqref="K8"/>
    </sheetView>
  </sheetViews>
  <sheetFormatPr defaultColWidth="9.109375" defaultRowHeight="13.8" x14ac:dyDescent="0.3"/>
  <cols>
    <col min="1" max="10" width="25.6640625" style="29" customWidth="1"/>
    <col min="11" max="11" width="15.6640625" style="29" customWidth="1"/>
    <col min="12" max="12" width="33.6640625" style="29" customWidth="1"/>
    <col min="13" max="19" width="15.6640625" style="29" customWidth="1"/>
    <col min="20" max="16384" width="9.109375" style="29"/>
  </cols>
  <sheetData>
    <row r="1" spans="1:18" customFormat="1" ht="15" customHeight="1" x14ac:dyDescent="0.25">
      <c r="A1" s="85"/>
      <c r="B1" s="161"/>
      <c r="C1" s="161"/>
      <c r="D1" s="161"/>
      <c r="E1" s="161"/>
      <c r="F1" s="161"/>
      <c r="G1" s="161"/>
      <c r="H1" s="161"/>
      <c r="I1" s="161"/>
      <c r="J1" s="86"/>
    </row>
    <row r="2" spans="1:18" ht="164.25" customHeight="1" x14ac:dyDescent="1.4">
      <c r="A2" s="110"/>
      <c r="B2" s="111"/>
      <c r="C2" s="111"/>
      <c r="D2" s="111"/>
      <c r="E2" s="111"/>
      <c r="F2" s="111"/>
      <c r="G2" s="111"/>
      <c r="H2" s="111"/>
      <c r="I2" s="111"/>
      <c r="J2" s="162"/>
    </row>
    <row r="3" spans="1:18" s="89" customFormat="1" ht="54.75" customHeight="1" x14ac:dyDescent="0.3">
      <c r="A3" s="311" t="s">
        <v>39</v>
      </c>
      <c r="B3" s="312"/>
      <c r="C3" s="312"/>
      <c r="D3" s="312"/>
      <c r="E3" s="312"/>
      <c r="F3" s="312"/>
      <c r="G3" s="312"/>
      <c r="H3" s="312"/>
      <c r="I3" s="312"/>
      <c r="J3" s="313"/>
    </row>
    <row r="4" spans="1:18" ht="13.5" customHeight="1" x14ac:dyDescent="0.3">
      <c r="A4" s="163"/>
      <c r="B4" s="164"/>
      <c r="C4" s="163"/>
      <c r="D4" s="164"/>
      <c r="E4" s="163"/>
      <c r="F4" s="164"/>
      <c r="G4" s="164"/>
      <c r="H4" s="164"/>
      <c r="I4" s="163"/>
      <c r="J4" s="165"/>
    </row>
    <row r="5" spans="1:18" ht="35.1" customHeight="1" x14ac:dyDescent="0.5">
      <c r="A5" s="283" t="s">
        <v>40</v>
      </c>
      <c r="B5" s="143"/>
      <c r="C5" s="143"/>
      <c r="D5" s="143"/>
      <c r="E5" s="143"/>
      <c r="F5" s="143"/>
      <c r="G5" s="143"/>
      <c r="H5" s="143"/>
      <c r="I5" s="143"/>
      <c r="J5" s="166"/>
      <c r="R5" s="167"/>
    </row>
    <row r="6" spans="1:18" ht="35.1" customHeight="1" x14ac:dyDescent="0.3">
      <c r="A6" s="168" t="s">
        <v>41</v>
      </c>
      <c r="B6" s="284"/>
      <c r="C6" s="284"/>
      <c r="D6" s="284"/>
      <c r="E6" s="284"/>
      <c r="F6" s="284"/>
      <c r="G6" s="284"/>
      <c r="H6" s="284"/>
      <c r="I6" s="284"/>
      <c r="J6" s="169"/>
      <c r="R6" s="167"/>
    </row>
    <row r="7" spans="1:18" ht="13.5" customHeight="1" x14ac:dyDescent="0.3">
      <c r="A7" s="170"/>
      <c r="B7" s="171"/>
      <c r="C7" s="172"/>
      <c r="D7" s="171"/>
      <c r="E7" s="172"/>
      <c r="F7" s="171"/>
      <c r="G7" s="171"/>
      <c r="H7" s="171"/>
      <c r="I7" s="172"/>
      <c r="J7" s="173"/>
      <c r="R7" s="167"/>
    </row>
    <row r="8" spans="1:18" ht="78" customHeight="1" x14ac:dyDescent="0.3">
      <c r="A8" s="174" t="s">
        <v>42</v>
      </c>
      <c r="B8" s="2"/>
      <c r="C8" s="175" t="s">
        <v>43</v>
      </c>
      <c r="D8" s="3"/>
      <c r="E8" s="175" t="s">
        <v>44</v>
      </c>
      <c r="F8" s="3"/>
      <c r="G8" s="175" t="s">
        <v>46</v>
      </c>
      <c r="H8" s="3"/>
      <c r="I8" s="175" t="s">
        <v>47</v>
      </c>
      <c r="J8" s="1"/>
    </row>
    <row r="9" spans="1:18" ht="13.5" customHeight="1" x14ac:dyDescent="0.3">
      <c r="A9" s="176"/>
      <c r="B9" s="91"/>
      <c r="C9" s="90"/>
      <c r="D9" s="91"/>
      <c r="E9" s="90"/>
      <c r="F9" s="91"/>
      <c r="G9" s="91"/>
      <c r="H9" s="91"/>
      <c r="I9" s="90"/>
      <c r="J9" s="177"/>
    </row>
    <row r="10" spans="1:18" ht="68.25" customHeight="1" x14ac:dyDescent="0.3">
      <c r="A10" s="178" t="s">
        <v>48</v>
      </c>
      <c r="B10" s="4"/>
      <c r="C10" s="179" t="s">
        <v>50</v>
      </c>
      <c r="D10" s="5"/>
      <c r="E10" s="179" t="s">
        <v>51</v>
      </c>
      <c r="F10" s="4"/>
      <c r="G10" s="179" t="s">
        <v>52</v>
      </c>
      <c r="H10" s="4"/>
      <c r="I10" s="94"/>
      <c r="J10" s="180"/>
    </row>
    <row r="11" spans="1:18" ht="13.5" customHeight="1" x14ac:dyDescent="0.3">
      <c r="A11" s="181"/>
      <c r="B11" s="91"/>
      <c r="C11" s="90"/>
      <c r="D11" s="59"/>
      <c r="E11" s="91"/>
      <c r="F11" s="91"/>
      <c r="G11" s="91"/>
      <c r="H11" s="91"/>
      <c r="I11" s="90"/>
      <c r="J11" s="60"/>
    </row>
    <row r="12" spans="1:18" ht="18" customHeight="1" x14ac:dyDescent="0.3">
      <c r="A12" s="319" t="s">
        <v>54</v>
      </c>
      <c r="B12" s="322"/>
      <c r="C12" s="61" t="s">
        <v>55</v>
      </c>
      <c r="D12" s="90"/>
      <c r="E12" s="91"/>
      <c r="F12" s="91"/>
      <c r="G12" s="91"/>
      <c r="H12" s="91"/>
      <c r="I12" s="90"/>
      <c r="J12" s="60"/>
    </row>
    <row r="13" spans="1:18" ht="18" customHeight="1" x14ac:dyDescent="0.3">
      <c r="A13" s="320"/>
      <c r="B13" s="323"/>
      <c r="C13" s="61" t="s">
        <v>56</v>
      </c>
      <c r="D13" s="90"/>
      <c r="E13" s="91"/>
      <c r="F13" s="91"/>
      <c r="G13" s="91"/>
      <c r="H13" s="91"/>
      <c r="I13" s="90"/>
      <c r="J13" s="60"/>
    </row>
    <row r="14" spans="1:18" ht="18" customHeight="1" x14ac:dyDescent="0.3">
      <c r="A14" s="320"/>
      <c r="B14" s="323"/>
      <c r="C14" s="61" t="s">
        <v>57</v>
      </c>
      <c r="D14" s="90"/>
      <c r="E14" s="91"/>
      <c r="F14" s="91"/>
      <c r="G14" s="91"/>
      <c r="H14" s="91"/>
      <c r="I14" s="90"/>
      <c r="J14" s="60"/>
    </row>
    <row r="15" spans="1:18" ht="18" customHeight="1" x14ac:dyDescent="0.3">
      <c r="A15" s="321"/>
      <c r="B15" s="324"/>
      <c r="C15" s="61" t="s">
        <v>58</v>
      </c>
      <c r="D15" s="90"/>
      <c r="E15" s="91"/>
      <c r="F15" s="91"/>
      <c r="G15" s="91"/>
      <c r="H15" s="91"/>
      <c r="I15" s="90"/>
      <c r="J15" s="60"/>
    </row>
    <row r="16" spans="1:18" ht="13.5" customHeight="1" x14ac:dyDescent="0.3">
      <c r="A16" s="181"/>
      <c r="B16" s="91"/>
      <c r="C16" s="90"/>
      <c r="D16" s="59"/>
      <c r="E16" s="91"/>
      <c r="F16" s="91"/>
      <c r="G16" s="91"/>
      <c r="H16" s="91"/>
      <c r="I16" s="90"/>
      <c r="J16" s="60"/>
    </row>
    <row r="17" spans="1:12" ht="68.25" customHeight="1" x14ac:dyDescent="0.3">
      <c r="A17" s="183" t="s">
        <v>59</v>
      </c>
      <c r="B17" s="317"/>
      <c r="C17" s="317"/>
      <c r="D17" s="317"/>
      <c r="E17" s="317"/>
      <c r="F17" s="317"/>
      <c r="G17" s="317"/>
      <c r="H17" s="317"/>
      <c r="I17" s="317"/>
      <c r="J17" s="318"/>
    </row>
    <row r="18" spans="1:12" ht="13.5" customHeight="1" x14ac:dyDescent="0.3">
      <c r="A18" s="184"/>
      <c r="B18" s="185"/>
      <c r="C18" s="186"/>
      <c r="D18" s="62"/>
      <c r="E18" s="186"/>
      <c r="F18" s="185"/>
      <c r="G18" s="185"/>
      <c r="H18" s="185"/>
      <c r="I18" s="186"/>
      <c r="J18" s="63"/>
    </row>
    <row r="19" spans="1:12" ht="45" customHeight="1" x14ac:dyDescent="0.3">
      <c r="A19" s="285" t="s">
        <v>60</v>
      </c>
      <c r="B19" s="286"/>
      <c r="C19" s="287"/>
      <c r="D19" s="286"/>
      <c r="E19" s="287"/>
      <c r="F19" s="286"/>
      <c r="G19" s="286"/>
      <c r="H19" s="286"/>
      <c r="I19" s="287"/>
      <c r="J19" s="288"/>
    </row>
    <row r="20" spans="1:12" ht="35.1" customHeight="1" x14ac:dyDescent="0.5">
      <c r="A20" s="214" t="s">
        <v>61</v>
      </c>
      <c r="B20" s="228"/>
      <c r="C20" s="228"/>
      <c r="D20" s="229"/>
      <c r="E20" s="228"/>
      <c r="F20" s="228"/>
      <c r="G20" s="228"/>
      <c r="H20" s="228"/>
      <c r="I20" s="228"/>
      <c r="J20" s="230"/>
    </row>
    <row r="21" spans="1:12" ht="39.9" customHeight="1" x14ac:dyDescent="0.3">
      <c r="A21" s="198" t="s">
        <v>62</v>
      </c>
      <c r="B21" s="199"/>
      <c r="C21" s="199"/>
      <c r="D21" s="199"/>
      <c r="E21" s="199"/>
      <c r="F21" s="199"/>
      <c r="G21" s="199"/>
      <c r="H21" s="199"/>
      <c r="I21" s="199"/>
      <c r="J21" s="200"/>
    </row>
    <row r="22" spans="1:12" ht="13.5" customHeight="1" x14ac:dyDescent="0.3">
      <c r="A22" s="191"/>
      <c r="B22" s="171"/>
      <c r="C22" s="172"/>
      <c r="D22" s="64"/>
      <c r="E22" s="172"/>
      <c r="F22" s="171"/>
      <c r="G22" s="171"/>
      <c r="H22" s="171"/>
      <c r="I22" s="172"/>
      <c r="J22" s="65"/>
    </row>
    <row r="23" spans="1:12" ht="59.25" customHeight="1" x14ac:dyDescent="0.3">
      <c r="A23" s="192" t="s">
        <v>63</v>
      </c>
      <c r="B23" s="7"/>
      <c r="C23" s="193" t="s">
        <v>64</v>
      </c>
      <c r="D23" s="7"/>
      <c r="E23" s="193" t="s">
        <v>65</v>
      </c>
      <c r="F23" s="7"/>
      <c r="G23" s="193" t="s">
        <v>66</v>
      </c>
      <c r="H23" s="7"/>
      <c r="I23" s="193" t="s">
        <v>67</v>
      </c>
      <c r="J23" s="6"/>
      <c r="L23" s="194"/>
    </row>
    <row r="24" spans="1:12" ht="13.5" customHeight="1" x14ac:dyDescent="0.3">
      <c r="A24" s="191"/>
      <c r="B24" s="171"/>
      <c r="C24" s="172"/>
      <c r="D24" s="64"/>
      <c r="E24" s="172"/>
      <c r="F24" s="171"/>
      <c r="G24" s="171"/>
      <c r="H24" s="171"/>
      <c r="I24" s="172"/>
      <c r="J24" s="65"/>
    </row>
    <row r="25" spans="1:12" ht="35.1" customHeight="1" x14ac:dyDescent="0.5">
      <c r="A25" s="214" t="s">
        <v>68</v>
      </c>
      <c r="B25" s="195"/>
      <c r="C25" s="195"/>
      <c r="D25" s="196"/>
      <c r="E25" s="195"/>
      <c r="F25" s="195"/>
      <c r="G25" s="195"/>
      <c r="H25" s="195"/>
      <c r="I25" s="195"/>
      <c r="J25" s="197"/>
    </row>
    <row r="26" spans="1:12" ht="35.1" customHeight="1" x14ac:dyDescent="0.3">
      <c r="A26" s="198" t="s">
        <v>69</v>
      </c>
      <c r="B26" s="199"/>
      <c r="C26" s="199"/>
      <c r="D26" s="199"/>
      <c r="E26" s="199"/>
      <c r="F26" s="199"/>
      <c r="G26" s="199"/>
      <c r="H26" s="199"/>
      <c r="I26" s="199"/>
      <c r="J26" s="200"/>
    </row>
    <row r="27" spans="1:12" ht="13.5" customHeight="1" x14ac:dyDescent="0.3">
      <c r="A27" s="191"/>
      <c r="B27" s="171"/>
      <c r="C27" s="172"/>
      <c r="D27" s="64"/>
      <c r="E27" s="172"/>
      <c r="F27" s="171"/>
      <c r="G27" s="171"/>
      <c r="H27" s="171"/>
      <c r="I27" s="172"/>
      <c r="J27" s="65"/>
    </row>
    <row r="28" spans="1:12" ht="54.9" customHeight="1" x14ac:dyDescent="0.3">
      <c r="A28" s="201" t="s">
        <v>70</v>
      </c>
      <c r="B28" s="66">
        <f>'Embedded Values'!$D$13</f>
        <v>0.18190000000000001</v>
      </c>
      <c r="C28" s="202" t="s">
        <v>71</v>
      </c>
      <c r="D28" s="66">
        <f>'Embedded Values'!$D$14</f>
        <v>0.77170000000000005</v>
      </c>
      <c r="E28" s="202" t="s">
        <v>72</v>
      </c>
      <c r="F28" s="66">
        <f>'Embedded Values'!$D$15</f>
        <v>1.22</v>
      </c>
      <c r="G28" s="202" t="s">
        <v>73</v>
      </c>
      <c r="H28" s="66">
        <f>'Embedded Values'!$D$16</f>
        <v>4.6120000000000001</v>
      </c>
      <c r="I28" s="202" t="s">
        <v>74</v>
      </c>
      <c r="J28" s="67">
        <f>'Embedded Values'!$D$17</f>
        <v>95.93</v>
      </c>
    </row>
    <row r="29" spans="1:12" ht="13.5" customHeight="1" x14ac:dyDescent="0.3">
      <c r="A29" s="203"/>
      <c r="B29" s="164"/>
      <c r="C29" s="163"/>
      <c r="D29" s="68"/>
      <c r="E29" s="163"/>
      <c r="F29" s="164"/>
      <c r="G29" s="164"/>
      <c r="H29" s="164"/>
      <c r="I29" s="163"/>
      <c r="J29" s="69"/>
    </row>
    <row r="30" spans="1:12" s="204" customFormat="1" ht="45" customHeight="1" x14ac:dyDescent="0.3">
      <c r="A30" s="187" t="s">
        <v>75</v>
      </c>
      <c r="B30" s="188"/>
      <c r="C30" s="189"/>
      <c r="D30" s="188"/>
      <c r="E30" s="189"/>
      <c r="F30" s="188"/>
      <c r="G30" s="188"/>
      <c r="H30" s="188"/>
      <c r="I30" s="189"/>
      <c r="J30" s="190"/>
    </row>
    <row r="31" spans="1:12" ht="35.1" customHeight="1" x14ac:dyDescent="0.5">
      <c r="A31" s="214" t="s">
        <v>76</v>
      </c>
      <c r="B31" s="205"/>
      <c r="C31" s="205"/>
      <c r="D31" s="205"/>
      <c r="E31" s="205"/>
      <c r="F31" s="205"/>
      <c r="G31" s="205"/>
      <c r="H31" s="205"/>
      <c r="I31" s="205"/>
      <c r="J31" s="206"/>
    </row>
    <row r="32" spans="1:12" ht="39.9" customHeight="1" x14ac:dyDescent="0.3">
      <c r="A32" s="198" t="s">
        <v>384</v>
      </c>
      <c r="B32" s="207"/>
      <c r="C32" s="207"/>
      <c r="D32" s="207"/>
      <c r="E32" s="207"/>
      <c r="F32" s="207"/>
      <c r="G32" s="207"/>
      <c r="H32" s="207"/>
      <c r="I32" s="207"/>
      <c r="J32" s="208"/>
    </row>
    <row r="33" spans="1:10" ht="13.5" customHeight="1" x14ac:dyDescent="0.3">
      <c r="A33" s="209"/>
      <c r="B33" s="210"/>
      <c r="C33" s="211"/>
      <c r="D33" s="59"/>
      <c r="E33" s="90"/>
      <c r="F33" s="91"/>
      <c r="G33" s="91"/>
      <c r="H33" s="91"/>
      <c r="I33" s="90"/>
      <c r="J33" s="60"/>
    </row>
    <row r="34" spans="1:10" ht="105" customHeight="1" x14ac:dyDescent="0.3">
      <c r="A34" s="182" t="s">
        <v>77</v>
      </c>
      <c r="B34" s="10"/>
      <c r="C34" s="212" t="s">
        <v>79</v>
      </c>
      <c r="D34" s="9"/>
      <c r="E34" s="193" t="s">
        <v>81</v>
      </c>
      <c r="F34" s="8"/>
      <c r="G34" s="213" t="s">
        <v>83</v>
      </c>
      <c r="H34" s="11"/>
      <c r="I34" s="309" t="str">
        <f>IF(
    $F$10=0,
    "Energy measures do not apply to this project application."&amp;CHAR(10)&amp;"↓   Scroll down to next section   ↓",
    IF(
        'Dev. Notes'!$C$94,
        "⚠ Not Standalone measure(s): Tandem measures require an eligible Core measure.",
        IF(
            'Dev. Notes'!$C$100,
            "⚠ This building type is ineligible for the highlighted ECM(s).",
            ""
        )
    )
)</f>
        <v>Energy measures do not apply to this project application.
↓   Scroll down to next section   ↓</v>
      </c>
      <c r="J34" s="310"/>
    </row>
    <row r="35" spans="1:10" ht="13.5" customHeight="1" x14ac:dyDescent="0.3">
      <c r="A35" s="181"/>
      <c r="B35" s="91"/>
      <c r="C35" s="90"/>
      <c r="D35" s="59"/>
      <c r="E35" s="90"/>
      <c r="F35" s="91"/>
      <c r="G35" s="91"/>
      <c r="H35" s="91"/>
      <c r="I35" s="90"/>
      <c r="J35" s="60"/>
    </row>
    <row r="36" spans="1:10" ht="35.1" customHeight="1" x14ac:dyDescent="0.5">
      <c r="A36" s="214" t="s">
        <v>85</v>
      </c>
      <c r="B36" s="215"/>
      <c r="C36" s="215"/>
      <c r="D36" s="215"/>
      <c r="E36" s="215"/>
      <c r="F36" s="215"/>
      <c r="G36" s="215"/>
      <c r="H36" s="215"/>
      <c r="I36" s="215"/>
      <c r="J36" s="216"/>
    </row>
    <row r="37" spans="1:10" ht="39.9" customHeight="1" x14ac:dyDescent="0.3">
      <c r="A37" s="198" t="s">
        <v>86</v>
      </c>
      <c r="B37" s="207"/>
      <c r="C37" s="207"/>
      <c r="D37" s="207"/>
      <c r="E37" s="207"/>
      <c r="F37" s="207"/>
      <c r="G37" s="207"/>
      <c r="H37" s="207"/>
      <c r="I37" s="207"/>
      <c r="J37" s="208"/>
    </row>
    <row r="38" spans="1:10" ht="13.5" customHeight="1" x14ac:dyDescent="0.3">
      <c r="A38" s="181"/>
      <c r="B38" s="91"/>
      <c r="C38" s="90"/>
      <c r="D38" s="59"/>
      <c r="E38" s="90"/>
      <c r="F38" s="91"/>
      <c r="G38" s="91"/>
      <c r="H38" s="91"/>
      <c r="I38" s="90"/>
      <c r="J38" s="60"/>
    </row>
    <row r="39" spans="1:10" ht="36.75" customHeight="1" x14ac:dyDescent="0.3">
      <c r="A39" s="217" t="s">
        <v>87</v>
      </c>
      <c r="B39" s="218" t="s">
        <v>88</v>
      </c>
      <c r="C39" s="219" t="s">
        <v>89</v>
      </c>
      <c r="D39" s="220" t="s">
        <v>90</v>
      </c>
      <c r="E39" s="219" t="s">
        <v>91</v>
      </c>
      <c r="F39" s="220" t="s">
        <v>92</v>
      </c>
      <c r="G39" s="219" t="s">
        <v>93</v>
      </c>
      <c r="H39" s="220" t="s">
        <v>92</v>
      </c>
      <c r="I39" s="219" t="s">
        <v>94</v>
      </c>
      <c r="J39" s="221" t="s">
        <v>95</v>
      </c>
    </row>
    <row r="40" spans="1:10" ht="13.5" customHeight="1" x14ac:dyDescent="0.3">
      <c r="A40" s="181"/>
      <c r="B40" s="91"/>
      <c r="C40" s="90"/>
      <c r="D40" s="59"/>
      <c r="E40" s="90"/>
      <c r="F40" s="91"/>
      <c r="G40" s="91"/>
      <c r="H40" s="91"/>
      <c r="I40" s="90"/>
      <c r="J40" s="60"/>
    </row>
    <row r="41" spans="1:10" ht="81.900000000000006" customHeight="1" x14ac:dyDescent="0.3">
      <c r="A41" s="192" t="str">
        <f>IF($B$34="[Select an ECM from the dropdown list]",
"",
$A$34&amp;" "&amp;$B$34
)</f>
        <v xml:space="preserve">ECM 1. </v>
      </c>
      <c r="B41" s="13"/>
      <c r="C41" s="222" t="str">
        <f>$A$41</f>
        <v xml:space="preserve">ECM 1. </v>
      </c>
      <c r="D41" s="13"/>
      <c r="E41" s="222" t="str">
        <f>$A$41</f>
        <v xml:space="preserve">ECM 1. </v>
      </c>
      <c r="F41" s="13"/>
      <c r="G41" s="222" t="str">
        <f>$A$41</f>
        <v xml:space="preserve">ECM 1. </v>
      </c>
      <c r="H41" s="13"/>
      <c r="I41" s="223" t="str">
        <f>$A$41</f>
        <v xml:space="preserve">ECM 1. </v>
      </c>
      <c r="J41" s="6"/>
    </row>
    <row r="42" spans="1:10" ht="13.5" customHeight="1" x14ac:dyDescent="0.3">
      <c r="A42" s="224"/>
      <c r="B42" s="70"/>
      <c r="C42" s="225"/>
      <c r="D42" s="70"/>
      <c r="E42" s="225"/>
      <c r="F42" s="70"/>
      <c r="G42" s="225"/>
      <c r="H42" s="70"/>
      <c r="I42" s="225"/>
      <c r="J42" s="71"/>
    </row>
    <row r="43" spans="1:10" ht="81.900000000000006" customHeight="1" x14ac:dyDescent="0.3">
      <c r="A43" s="226" t="str">
        <f>IF($D$34="[Select an ECM from the dropdown list]",
"",
$C$34&amp;" "&amp;$D$34
)</f>
        <v xml:space="preserve">ECM 2. </v>
      </c>
      <c r="B43" s="15"/>
      <c r="C43" s="227" t="str">
        <f>$A$43</f>
        <v xml:space="preserve">ECM 2. </v>
      </c>
      <c r="D43" s="15"/>
      <c r="E43" s="227" t="str">
        <f>$A$43</f>
        <v xml:space="preserve">ECM 2. </v>
      </c>
      <c r="F43" s="15"/>
      <c r="G43" s="227" t="str">
        <f>$A$43</f>
        <v xml:space="preserve">ECM 2. </v>
      </c>
      <c r="H43" s="15"/>
      <c r="I43" s="227" t="str">
        <f>$A$43</f>
        <v xml:space="preserve">ECM 2. </v>
      </c>
      <c r="J43" s="14"/>
    </row>
    <row r="44" spans="1:10" ht="13.5" customHeight="1" x14ac:dyDescent="0.3">
      <c r="A44" s="224"/>
      <c r="B44" s="70"/>
      <c r="C44" s="225"/>
      <c r="D44" s="70"/>
      <c r="E44" s="225"/>
      <c r="F44" s="70"/>
      <c r="G44" s="225"/>
      <c r="H44" s="70"/>
      <c r="I44" s="225"/>
      <c r="J44" s="71"/>
    </row>
    <row r="45" spans="1:10" ht="81.900000000000006" customHeight="1" x14ac:dyDescent="0.3">
      <c r="A45" s="192" t="str">
        <f>IF($F$34="[Select an ECM from the dropdown list]",
"",
$E$34&amp;" "&amp;$F$34
)</f>
        <v xml:space="preserve">ECM 3. </v>
      </c>
      <c r="B45" s="13"/>
      <c r="C45" s="193" t="str">
        <f>$A$45</f>
        <v xml:space="preserve">ECM 3. </v>
      </c>
      <c r="D45" s="13"/>
      <c r="E45" s="193" t="str">
        <f>$A$45</f>
        <v xml:space="preserve">ECM 3. </v>
      </c>
      <c r="F45" s="13"/>
      <c r="G45" s="193" t="str">
        <f>$A$45</f>
        <v xml:space="preserve">ECM 3. </v>
      </c>
      <c r="H45" s="13"/>
      <c r="I45" s="193" t="str">
        <f>$A$45</f>
        <v xml:space="preserve">ECM 3. </v>
      </c>
      <c r="J45" s="6"/>
    </row>
    <row r="46" spans="1:10" ht="13.5" customHeight="1" x14ac:dyDescent="0.3">
      <c r="A46" s="224"/>
      <c r="B46" s="70"/>
      <c r="C46" s="225"/>
      <c r="D46" s="70"/>
      <c r="E46" s="225"/>
      <c r="F46" s="70"/>
      <c r="G46" s="225"/>
      <c r="H46" s="70"/>
      <c r="I46" s="225"/>
      <c r="J46" s="71"/>
    </row>
    <row r="47" spans="1:10" ht="81.900000000000006" customHeight="1" x14ac:dyDescent="0.3">
      <c r="A47" s="192" t="str">
        <f>IF($H$34="[Select an ECM from the dropdown list]",
"",
$G$34&amp;" "&amp;$H$34
)</f>
        <v xml:space="preserve">ECM 4. </v>
      </c>
      <c r="B47" s="7"/>
      <c r="C47" s="193" t="str">
        <f>$A$47</f>
        <v xml:space="preserve">ECM 4. </v>
      </c>
      <c r="D47" s="7"/>
      <c r="E47" s="193" t="str">
        <f>$A$47</f>
        <v xml:space="preserve">ECM 4. </v>
      </c>
      <c r="F47" s="7"/>
      <c r="G47" s="193" t="str">
        <f>$A$47</f>
        <v xml:space="preserve">ECM 4. </v>
      </c>
      <c r="H47" s="7"/>
      <c r="I47" s="193" t="str">
        <f>$A$47</f>
        <v xml:space="preserve">ECM 4. </v>
      </c>
      <c r="J47" s="6"/>
    </row>
    <row r="48" spans="1:10" ht="13.5" customHeight="1" x14ac:dyDescent="0.3">
      <c r="A48" s="181"/>
      <c r="B48" s="91"/>
      <c r="C48" s="90"/>
      <c r="D48" s="59"/>
      <c r="E48" s="90"/>
      <c r="F48" s="91"/>
      <c r="G48" s="91"/>
      <c r="H48" s="91"/>
      <c r="I48" s="90"/>
      <c r="J48" s="60"/>
    </row>
    <row r="49" spans="1:16" ht="35.1" customHeight="1" x14ac:dyDescent="0.5">
      <c r="A49" s="214" t="s">
        <v>96</v>
      </c>
      <c r="B49" s="228"/>
      <c r="C49" s="228"/>
      <c r="D49" s="229"/>
      <c r="E49" s="228"/>
      <c r="F49" s="228"/>
      <c r="G49" s="228"/>
      <c r="H49" s="228"/>
      <c r="I49" s="228"/>
      <c r="J49" s="230"/>
    </row>
    <row r="50" spans="1:16" ht="35.1" customHeight="1" x14ac:dyDescent="0.3">
      <c r="A50" s="231" t="s">
        <v>97</v>
      </c>
      <c r="B50" s="199"/>
      <c r="C50" s="199"/>
      <c r="D50" s="199"/>
      <c r="E50" s="199"/>
      <c r="F50" s="199"/>
      <c r="G50" s="199"/>
      <c r="H50" s="199"/>
      <c r="I50" s="199"/>
      <c r="J50" s="200"/>
      <c r="P50" s="232"/>
    </row>
    <row r="51" spans="1:16" ht="13.5" customHeight="1" x14ac:dyDescent="0.3">
      <c r="A51" s="181"/>
      <c r="B51" s="91"/>
      <c r="C51" s="90"/>
      <c r="D51" s="59"/>
      <c r="E51" s="90"/>
      <c r="F51" s="91"/>
      <c r="G51" s="91"/>
      <c r="H51" s="91"/>
      <c r="I51" s="90"/>
      <c r="J51" s="60"/>
    </row>
    <row r="52" spans="1:16" ht="81.900000000000006" customHeight="1" x14ac:dyDescent="0.3">
      <c r="A52" s="201" t="str">
        <f>$A$41</f>
        <v xml:space="preserve">ECM 1. </v>
      </c>
      <c r="B52" s="12"/>
      <c r="C52" s="233" t="str">
        <f>$A$43</f>
        <v xml:space="preserve">ECM 2. </v>
      </c>
      <c r="D52" s="12"/>
      <c r="E52" s="233" t="str">
        <f>$A$45</f>
        <v xml:space="preserve">ECM 3. </v>
      </c>
      <c r="F52" s="12"/>
      <c r="G52" s="233" t="str">
        <f>$A$47</f>
        <v xml:space="preserve">ECM 4. </v>
      </c>
      <c r="H52" s="12"/>
      <c r="I52" s="234"/>
      <c r="J52" s="235"/>
    </row>
    <row r="53" spans="1:16" ht="13.5" customHeight="1" x14ac:dyDescent="0.3">
      <c r="A53" s="176"/>
      <c r="B53" s="72"/>
      <c r="C53" s="90"/>
      <c r="D53" s="72"/>
      <c r="E53" s="90"/>
      <c r="F53" s="72"/>
      <c r="G53" s="72"/>
      <c r="H53" s="72"/>
      <c r="I53" s="186"/>
      <c r="J53" s="73"/>
    </row>
    <row r="54" spans="1:16" s="204" customFormat="1" ht="45" customHeight="1" x14ac:dyDescent="0.3">
      <c r="A54" s="187" t="s">
        <v>98</v>
      </c>
      <c r="B54" s="188"/>
      <c r="C54" s="189"/>
      <c r="D54" s="188"/>
      <c r="E54" s="189"/>
      <c r="F54" s="188"/>
      <c r="G54" s="188"/>
      <c r="H54" s="188"/>
      <c r="I54" s="189"/>
      <c r="J54" s="190"/>
    </row>
    <row r="55" spans="1:16" ht="35.1" customHeight="1" x14ac:dyDescent="0.5">
      <c r="A55" s="214" t="s">
        <v>99</v>
      </c>
      <c r="B55" s="205"/>
      <c r="C55" s="205"/>
      <c r="D55" s="205"/>
      <c r="E55" s="205"/>
      <c r="F55" s="205"/>
      <c r="G55" s="205"/>
      <c r="H55" s="205"/>
      <c r="I55" s="205"/>
      <c r="J55" s="206"/>
    </row>
    <row r="56" spans="1:16" ht="39.9" customHeight="1" x14ac:dyDescent="0.3">
      <c r="A56" s="198" t="s">
        <v>100</v>
      </c>
      <c r="B56" s="207"/>
      <c r="C56" s="207"/>
      <c r="D56" s="207"/>
      <c r="E56" s="207"/>
      <c r="F56" s="207"/>
      <c r="G56" s="207"/>
      <c r="H56" s="207"/>
      <c r="I56" s="207"/>
      <c r="J56" s="208"/>
    </row>
    <row r="57" spans="1:16" ht="21.9" customHeight="1" x14ac:dyDescent="0.3">
      <c r="A57" s="236" t="s">
        <v>101</v>
      </c>
      <c r="B57" s="74"/>
      <c r="C57" s="237"/>
      <c r="D57" s="74"/>
      <c r="E57" s="237"/>
      <c r="F57" s="74"/>
      <c r="G57" s="237"/>
      <c r="H57" s="74"/>
      <c r="I57" s="237"/>
      <c r="J57" s="75"/>
    </row>
    <row r="58" spans="1:16" ht="90" customHeight="1" x14ac:dyDescent="0.3">
      <c r="A58" s="238" t="s">
        <v>102</v>
      </c>
      <c r="B58" s="7"/>
      <c r="C58" s="193" t="s">
        <v>103</v>
      </c>
      <c r="D58" s="7"/>
      <c r="E58" s="193" t="s">
        <v>105</v>
      </c>
      <c r="F58" s="7"/>
      <c r="G58" s="193" t="s">
        <v>106</v>
      </c>
      <c r="H58" s="17"/>
      <c r="I58" s="193" t="s">
        <v>107</v>
      </c>
      <c r="J58" s="16"/>
    </row>
    <row r="59" spans="1:16" ht="21.9" customHeight="1" x14ac:dyDescent="0.3">
      <c r="A59" s="236" t="str">
        <f>IF(
    $B$10='Dev. Notes'!$B$17,
    "Solar PV is not applicable to Commercial Buildings.",
    IF(
        $H$10='Dev. Notes'!$B$4,
        "No Solar PV in this project.",
        "SOLAR CANOPY INSTALLATION"
    )
)</f>
        <v>SOLAR CANOPY INSTALLATION</v>
      </c>
      <c r="B59" s="74"/>
      <c r="C59" s="237"/>
      <c r="D59" s="74"/>
      <c r="E59" s="237"/>
      <c r="F59" s="74"/>
      <c r="G59" s="237"/>
      <c r="H59" s="74"/>
      <c r="I59" s="237"/>
      <c r="J59" s="75"/>
    </row>
    <row r="60" spans="1:16" ht="90" customHeight="1" x14ac:dyDescent="0.3">
      <c r="A60" s="238" t="s">
        <v>102</v>
      </c>
      <c r="B60" s="7"/>
      <c r="C60" s="193" t="s">
        <v>103</v>
      </c>
      <c r="D60" s="7"/>
      <c r="E60" s="193" t="s">
        <v>105</v>
      </c>
      <c r="F60" s="7"/>
      <c r="G60" s="193" t="s">
        <v>106</v>
      </c>
      <c r="H60" s="17"/>
      <c r="I60" s="193" t="s">
        <v>107</v>
      </c>
      <c r="J60" s="16"/>
    </row>
    <row r="61" spans="1:16" ht="13.5" customHeight="1" x14ac:dyDescent="0.3">
      <c r="A61" s="217"/>
      <c r="B61" s="76"/>
      <c r="C61" s="239"/>
      <c r="D61" s="76"/>
      <c r="E61" s="239"/>
      <c r="F61" s="76"/>
      <c r="G61" s="239"/>
      <c r="H61" s="76"/>
      <c r="I61" s="239"/>
      <c r="J61" s="77"/>
    </row>
    <row r="62" spans="1:16" ht="35.1" customHeight="1" x14ac:dyDescent="0.5">
      <c r="A62" s="214" t="s">
        <v>108</v>
      </c>
      <c r="B62" s="228"/>
      <c r="C62" s="228"/>
      <c r="D62" s="229"/>
      <c r="E62" s="228"/>
      <c r="F62" s="228"/>
      <c r="G62" s="228"/>
      <c r="H62" s="228"/>
      <c r="I62" s="228"/>
      <c r="J62" s="230"/>
    </row>
    <row r="63" spans="1:16" ht="35.1" customHeight="1" x14ac:dyDescent="0.3">
      <c r="A63" s="231" t="s">
        <v>109</v>
      </c>
      <c r="B63" s="199"/>
      <c r="C63" s="199"/>
      <c r="D63" s="199"/>
      <c r="E63" s="199"/>
      <c r="F63" s="199"/>
      <c r="G63" s="199"/>
      <c r="H63" s="199"/>
      <c r="I63" s="199"/>
      <c r="J63" s="200"/>
      <c r="L63" s="240"/>
    </row>
    <row r="64" spans="1:16" ht="21.9" customHeight="1" x14ac:dyDescent="0.3">
      <c r="A64" s="236" t="s">
        <v>101</v>
      </c>
      <c r="B64" s="74"/>
      <c r="C64" s="237"/>
      <c r="D64" s="74"/>
      <c r="E64" s="237"/>
      <c r="F64" s="74"/>
      <c r="G64" s="74"/>
      <c r="H64" s="74"/>
      <c r="I64" s="237"/>
      <c r="J64" s="75"/>
    </row>
    <row r="65" spans="1:10" ht="95.1" customHeight="1" x14ac:dyDescent="0.3">
      <c r="A65" s="314" t="str" cm="1">
        <f t="array" ref="A65">IFERROR(
_xlfn.LET(
    _xlpm.requestedPerKW,IFERROR(--$J$65,0),
    _xlpm.requestedGrant,IFERROR(--$J$58,0),
    _xlpm.projectCost,IFERROR(--$H$58,0),
    _xlpm.ownership,$D$58,
    _xlpm.building,$B$10,
    _xlpm.srow,
    _xlfn.SWITCH(
        _xlpm.building,
        'Dev. Notes'!$B$18,ROW('MEA Incentives'!$A$40),
        'Dev. Notes'!$B$19,ROW('MEA Incentives'!$A$48),
        'Dev. Notes'!$B$20,ROW('MEA Incentives'!$A$56),
        'Dev. Notes'!$B$21,ROW('MEA Incentives'!$A$56),
        0
    ),
    _xlpm.rateCol,
    IF(
        _xlpm.ownership='Dev. Notes'!$B$28,
        2,
        IF(
            _xlpm.ownership='Dev. Notes'!$B$29,
            3,
            0
        )
    ),
    _xlpm.capRow,
    IF(
        _xlpm.srow=0,
        0,
        _xlpm.srow+5
    ),
    _xlpm.allowedRate,
    IFERROR(--'Dev. Notes'!$C$41,0),
    _xlpm.allowedPct,
    IF(
        OR(_xlpm.capRow=0,_xlpm.rateCol=0),
        0,
        IFERROR(
            INDEX(
                'MEA Incentives'!$A:$D,
                _xlpm.capRow,
                _xlpm.rateCol
            ),
            0
        )
    ),
    _xlpm.requestedPct,
    IFERROR(
        _xlpm.requestedGrant/_xlpm.projectCost,
        0
    ),
    _xlpm.overRate,
    _xlpm.requestedPerKW&gt;_xlpm.allowedRate,
    _xlpm.overPct,
    _xlpm.requestedPct&gt;_xlpm.allowedPct,
    IF(
        _xlpm.building='Dev. Notes'!$B$17,
        "",
        IF(
            OR(
                $H$10='Dev. Notes'!$B$4,
                $H$10='Dev. Notes'!$B$6
            ),
            "No Ground Mount/Rooftop Solar PV in this project.",
            IF(
                OR(
                    _xlpm.requestedPerKW&lt;=0,
                    _xlpm.requestedGrant&lt;=0,
                    _xlpm.projectCost&lt;=0,
                    _xlpm.allowedRate&lt;=0,
                    _xlpm.allowedPct&lt;=0
                ),
                "",
                IF(
                    AND(_xlpm.overRate,_xlpm.overPct),
                    "Solar PV Requested Grant Amount exceeds both the MEA rate cap of $"&amp;
                    TEXT(_xlpm.allowedRate,"#,##0")&amp;
                    "/kW and the project cost share cap of "&amp;
                    TEXT(_xlpm.allowedPct,"0%")&amp;".",
                    IF(
                        _xlpm.overRate,
                        "Solar PV Requested Grant Amount of $"&amp;
                        TEXT(_xlpm.requestedPerKW,"#,##0")&amp;
                        "/kW exceeds the MEA rate cap of $"&amp;
                        TEXT(_xlpm.allowedRate,"#,##0")&amp;
                        "/kW.",
                        IF(
                            _xlpm.overPct,
                            "Solar PV Requested Grant Amount represents "&amp;
                            TEXT(_xlpm.requestedPct,"0%")&amp;
                            " of the Solar PV System Total Project Costs and exceeds the project cost share cap of "&amp;
                            TEXT(_xlpm.allowedPct,"0%")&amp;".",
                            "Solar PV Requested Grant Amount of $"&amp;
                            TEXT(_xlpm.requestedPerKW,"#,##0")&amp;
                            "/kW is within the MEA rate cap of $"&amp;
                            TEXT(_xlpm.allowedRate,"#,##0")&amp;
                            "/kW and the project cost share cap of "&amp;
                            TEXT(_xlpm.allowedPct,"0%")&amp;"."
                        )
                    )
                )
            )
        )
    )
),
"")</f>
        <v/>
      </c>
      <c r="B65" s="315"/>
      <c r="C65" s="315"/>
      <c r="D65" s="315"/>
      <c r="E65" s="315"/>
      <c r="F65" s="315"/>
      <c r="G65" s="315"/>
      <c r="H65" s="316"/>
      <c r="I65" s="241" t="s">
        <v>110</v>
      </c>
      <c r="J65" s="78" t="str">
        <f>IFERROR(
    IF(
        OR(
            $B$10='Dev. Notes'!$B$17,
            $H$10='Dev. Notes'!$B$4,
            $H$10='Dev. Notes'!$B$6,
            $B$58&lt;=0,
            $J$58=""
        ),
        "",
        $J$58/$B$58
    ),
    ""
)</f>
        <v/>
      </c>
    </row>
    <row r="66" spans="1:10" ht="21.9" customHeight="1" x14ac:dyDescent="0.3">
      <c r="A66" s="236" t="str">
        <f>IF(
    $B$10='Dev. Notes'!$B$17,
    "Solar PV is not applicable to Commercial Buildings.",
    IF(
        $H$10='Dev. Notes'!$B$4,
        "No Solar PV in this project.",
        "SOLAR CANOPY INSTALLATION"
    )
)</f>
        <v>SOLAR CANOPY INSTALLATION</v>
      </c>
      <c r="B66" s="74"/>
      <c r="C66" s="237"/>
      <c r="D66" s="74"/>
      <c r="E66" s="237"/>
      <c r="F66" s="74"/>
      <c r="G66" s="74"/>
      <c r="H66" s="74"/>
      <c r="I66" s="237"/>
      <c r="J66" s="75"/>
    </row>
    <row r="67" spans="1:10" ht="95.1" customHeight="1" x14ac:dyDescent="0.3">
      <c r="A67" s="306" t="str" cm="1">
        <f t="array" ref="A67">IFERROR(
_xlfn.LET(
    _xlpm.requestedPerKW,IFERROR(--$J$67,0),
    _xlpm.requestedGrant,IFERROR(--$J$60,0),
    _xlpm.projectCost,IFERROR(--$H$60,0),
    _xlpm.ownership,$D$60,
    _xlpm.building,$B$10,
    _xlpm.srow,
    _xlfn.SWITCH(
        _xlpm.building,
        'Dev. Notes'!$B$18,ROW('MEA Incentives'!$A$40),
        'Dev. Notes'!$B$19,ROW('MEA Incentives'!$A$48),
        'Dev. Notes'!$B$20,ROW('MEA Incentives'!$A$56),
        'Dev. Notes'!$B$21,ROW('MEA Incentives'!$A$56),
        0
    ),
    _xlpm.rateCol,
    IF(
        _xlpm.ownership='Dev. Notes'!$B$28,
        2,
        IF(
            _xlpm.ownership='Dev. Notes'!$B$29,
            3,
            0
        )
    ),
    _xlpm.capRow,
    IF(
        _xlpm.srow=0,
        0,
        _xlpm.srow+5
    ),
    _xlpm.allowedRate,
    IFERROR(--'Dev. Notes'!$C$42,0),
    _xlpm.allowedPct,
    IF(
        OR(_xlpm.capRow=0,_xlpm.rateCol=0),
        0,
        IFERROR(
            INDEX(
                'MEA Incentives'!$A:$D,
                _xlpm.capRow,
                _xlpm.rateCol
            ),
            0
        )
    ),
    _xlpm.requestedPct,
    IFERROR(
        _xlpm.requestedGrant/_xlpm.projectCost,
        0
    ),
    _xlpm.overRate,
    _xlpm.requestedPerKW&gt;_xlpm.allowedRate,
    _xlpm.overPct,
    _xlpm.requestedPct&gt;_xlpm.allowedPct,
    IF(
        _xlpm.building='Dev. Notes'!$B$17,
        "",
        IF(
            OR(
                $H$10='Dev. Notes'!$B$4,
                $H$10='Dev. Notes'!$B$5
            ),
            "No Solar Canopy PV in this project.",
            IF(
                OR(
                    _xlpm.requestedPerKW&lt;=0,
                    _xlpm.requestedGrant&lt;=0,
                    _xlpm.projectCost&lt;=0,
                    _xlpm.allowedRate&lt;=0,
                    _xlpm.allowedPct&lt;=0
                ),
                "",
                IF(
                    AND(_xlpm.overRate,_xlpm.overPct),
                    "Solar PV Requested Grant Amount exceeds both the MEA rate cap of $"&amp;
                    TEXT(_xlpm.allowedRate,"#,##0")&amp;
                    "/kW and the project cost share cap of "&amp;
                    TEXT(_xlpm.allowedPct,"0%")&amp;".",
                    IF(
                        _xlpm.overRate,
                        "Solar PV Requested Grant Amount of $"&amp;
                        TEXT(_xlpm.requestedPerKW,"#,##0")&amp;
                        "/kW exceeds the MEA rate cap of $"&amp;
                        TEXT(_xlpm.allowedRate,"#,##0")&amp;
                        "/kW.",
                        IF(
                            _xlpm.overPct,
                            "Solar PV Requested Grant Amount represents "&amp;
                            TEXT(_xlpm.requestedPct,"0%")&amp;
                            " of the Solar PV System Total Project Costs and exceeds the project cost share cap of "&amp;
                            TEXT(_xlpm.allowedPct,"0%")&amp;".",
                            "Solar PV Requested Grant Amount of $"&amp;
                            TEXT(_xlpm.requestedPerKW,"#,##0")&amp;
                            "/kW is within the MEA rate cap of $"&amp;
                            TEXT(_xlpm.allowedRate,"#,##0")&amp;
                            "/kW and the project cost share cap of "&amp;
                            TEXT(_xlpm.allowedPct,"0%")&amp;"."
                        )
                    )
                )
            )
        )
    )
),
"")</f>
        <v/>
      </c>
      <c r="B67" s="307"/>
      <c r="C67" s="307"/>
      <c r="D67" s="307"/>
      <c r="E67" s="307"/>
      <c r="F67" s="307"/>
      <c r="G67" s="307"/>
      <c r="H67" s="308"/>
      <c r="I67" s="242" t="s">
        <v>110</v>
      </c>
      <c r="J67" s="79" t="str">
        <f>IFERROR(
    IF(
        OR(
            $B$10='Dev. Notes'!$B$17,
            $H$10='Dev. Notes'!$B$4,
            $H$10='Dev. Notes'!$B$5,
            $B$60&lt;=0,
            $J$60=""
        ),
        "",
        $J$60/$B$60
    ),
    ""
)</f>
        <v/>
      </c>
    </row>
    <row r="68" spans="1:10" ht="13.5" customHeight="1" x14ac:dyDescent="0.3">
      <c r="A68" s="243"/>
      <c r="B68" s="80"/>
      <c r="C68" s="244"/>
      <c r="D68" s="80"/>
      <c r="E68" s="244"/>
      <c r="F68" s="80"/>
      <c r="G68" s="245"/>
      <c r="H68" s="81"/>
      <c r="I68" s="245"/>
      <c r="J68" s="82"/>
    </row>
    <row r="69" spans="1:10" s="204" customFormat="1" ht="45" customHeight="1" x14ac:dyDescent="0.3">
      <c r="A69" s="285" t="s">
        <v>111</v>
      </c>
      <c r="B69" s="281"/>
      <c r="C69" s="281"/>
      <c r="D69" s="281"/>
      <c r="E69" s="281"/>
      <c r="F69" s="281"/>
      <c r="G69" s="281"/>
      <c r="H69" s="281"/>
      <c r="I69" s="281"/>
      <c r="J69" s="282"/>
    </row>
    <row r="70" spans="1:10" ht="34.5" customHeight="1" x14ac:dyDescent="0.3">
      <c r="A70" s="278" t="s">
        <v>112</v>
      </c>
      <c r="B70" s="279"/>
      <c r="C70" s="279"/>
      <c r="D70" s="279"/>
      <c r="E70" s="279"/>
      <c r="F70" s="279"/>
      <c r="G70" s="279"/>
      <c r="H70" s="279"/>
      <c r="I70" s="279"/>
      <c r="J70" s="280"/>
    </row>
    <row r="71" spans="1:10" ht="13.5" customHeight="1" x14ac:dyDescent="0.3">
      <c r="A71" s="191"/>
      <c r="B71" s="171"/>
      <c r="C71" s="172"/>
      <c r="D71" s="64"/>
      <c r="E71" s="172"/>
      <c r="F71" s="171"/>
      <c r="G71" s="171"/>
      <c r="H71" s="171"/>
      <c r="I71" s="172"/>
      <c r="J71" s="65"/>
    </row>
    <row r="72" spans="1:10" ht="120" customHeight="1" x14ac:dyDescent="0.3">
      <c r="A72" s="246" t="s">
        <v>113</v>
      </c>
      <c r="B72" s="53" t="str">
        <f>IF(
    $D$10="",
    "Enter floor area in cell D10",
    IF(
        NOT(ISNUMBER($D$10)),
        "Enter a number in cell D10",
        IF(
            $D$10&lt;=0,
            "Floor area in cell D10 must be &gt; 0",
            IF(
                OR(
                    $B$23="",
                    $D$23="",
                    $F$23="",
                    $H$23="",
                    $J$23="",
                    NOT(ISNUMBER($B$23)),
                    NOT(ISNUMBER($D$23)),
                    NOT(ISNUMBER($F$23)),
                    NOT(ISNUMBER($H$23)),
                    NOT(ISNUMBER($J$23)),
                    $B$23&lt;0,
                    $D$23&lt;0,
                    $F$23&lt;0,
                    $H$23&lt;0,
                    $J$23&lt;0
                ),
                "Check fuel inputs in row 23",
                (
                    ($B$23*'Embedded Values'!$D$38)+
                    ($D$23*'Embedded Values'!$D$39)+
                    ($F$23*'Embedded Values'!$D$40)+
                    ($H$23*'Embedded Values'!$D$41)+
                    ($J$23*'Embedded Values'!$D$42)
                )/$D$10
            )
        )
    )
)</f>
        <v>Enter floor area in cell D10</v>
      </c>
      <c r="C72" s="247" t="s">
        <v>114</v>
      </c>
      <c r="D72" s="53" t="str">
        <f>IF(
    'User Inputs'!$D$10="",
    "Enter floor area in cell D10",
    IF(
        'User Inputs'!$D$10&lt;=0,
        "Floor area in cell D10 must be &gt; 0",
        IFERROR(
            (
                IFERROR('Calculated Metrics'!$B$8*'Embedded Values'!$D$38,0)
                +IFERROR('Calculated Metrics'!$D$8*'Embedded Values'!$D$39,0)
                +IFERROR('Calculated Metrics'!$F$8*'Embedded Values'!$D$40,0)
                +IFERROR('Calculated Metrics'!$H$8*'Embedded Values'!$D$41,0)
                +IFERROR('Calculated Metrics'!$J$8*'Embedded Values'!$D$42,0)
            )
            /'User Inputs'!$D$10,
            ""
        )
    )
)</f>
        <v>Enter floor area in cell D10</v>
      </c>
      <c r="E72" s="247" t="s">
        <v>115</v>
      </c>
      <c r="F72" s="83" t="str">
        <f>'Calculated Metrics'!$H$18</f>
        <v>Add ECMs or Solar in cell F10 or H10</v>
      </c>
      <c r="G72" s="247" t="s">
        <v>116</v>
      </c>
      <c r="H72" s="248" t="str">
        <f>'Calculated Metrics'!$J$18</f>
        <v>Add ECMs or Solar in cell F10 or H10</v>
      </c>
      <c r="I72" s="249" t="s">
        <v>117</v>
      </c>
      <c r="J72" s="250" t="str">
        <f>'Calculated Metrics'!$F$32</f>
        <v>Select building type in cell B10 of user inputs</v>
      </c>
    </row>
    <row r="73" spans="1:10" ht="13.5" customHeight="1" x14ac:dyDescent="0.3">
      <c r="A73" s="251"/>
      <c r="B73" s="84"/>
      <c r="C73" s="251"/>
      <c r="D73" s="84"/>
      <c r="E73" s="252"/>
      <c r="F73" s="253"/>
      <c r="G73" s="253"/>
      <c r="H73" s="253"/>
      <c r="I73" s="252"/>
      <c r="J73" s="254"/>
    </row>
    <row r="74" spans="1:10" ht="13.5" customHeight="1" x14ac:dyDescent="0.3">
      <c r="A74" s="94"/>
      <c r="B74" s="94"/>
      <c r="C74" s="94"/>
      <c r="D74" s="94"/>
      <c r="E74" s="94"/>
      <c r="F74" s="94"/>
      <c r="G74" s="94"/>
      <c r="H74" s="94"/>
      <c r="I74" s="94"/>
      <c r="J74" s="94"/>
    </row>
    <row r="75" spans="1:10" ht="18" customHeight="1" x14ac:dyDescent="0.3">
      <c r="A75" s="95"/>
      <c r="B75" s="95"/>
      <c r="C75" s="95"/>
      <c r="D75" s="95"/>
      <c r="E75" s="95"/>
      <c r="F75" s="95"/>
      <c r="G75" s="95"/>
      <c r="H75" s="95"/>
      <c r="I75" s="95"/>
      <c r="J75" s="95"/>
    </row>
    <row r="76" spans="1:10" ht="7.5" customHeight="1" x14ac:dyDescent="0.3">
      <c r="A76" s="96"/>
      <c r="B76" s="96"/>
      <c r="C76" s="96"/>
      <c r="D76" s="96"/>
      <c r="E76" s="96"/>
      <c r="F76" s="96"/>
      <c r="G76" s="96"/>
      <c r="H76" s="96"/>
      <c r="I76" s="96"/>
      <c r="J76" s="96"/>
    </row>
    <row r="77" spans="1:10" ht="54.75" customHeight="1" x14ac:dyDescent="0.3">
      <c r="D77" s="255"/>
    </row>
    <row r="80" spans="1:10" ht="69.900000000000006" customHeight="1" x14ac:dyDescent="0.3"/>
  </sheetData>
  <sheetProtection algorithmName="SHA-512" hashValue="yxNyTEVAMTbqj738BFCHQzEUJemlXpSasxJXBHlbLiwRYQj8azftr2026aN93fYG9tTeGttRYSpyvBa26Z3atw==" saltValue="bfBZQatFA8xFvTSzXJSvgA==" spinCount="100000" sheet="1" objects="1" scenarios="1"/>
  <mergeCells count="7">
    <mergeCell ref="A67:H67"/>
    <mergeCell ref="I34:J34"/>
    <mergeCell ref="A3:J3"/>
    <mergeCell ref="A65:H65"/>
    <mergeCell ref="B17:J17"/>
    <mergeCell ref="A12:A15"/>
    <mergeCell ref="B12:B15"/>
  </mergeCells>
  <conditionalFormatting sqref="A65">
    <cfRule type="expression" dxfId="173" priority="509">
      <formula>ISNUMBER(SEARCH("exceeds",$A65))</formula>
    </cfRule>
    <cfRule type="expression" dxfId="172" priority="508">
      <formula>ISNUMBER(SEARCH("within",$A65))</formula>
    </cfRule>
  </conditionalFormatting>
  <conditionalFormatting sqref="A34:B34">
    <cfRule type="expression" dxfId="171" priority="255">
      <formula>$F$10&lt;1</formula>
    </cfRule>
  </conditionalFormatting>
  <conditionalFormatting sqref="A52:B52">
    <cfRule type="expression" dxfId="170" priority="161">
      <formula>$F$10&lt;1</formula>
    </cfRule>
  </conditionalFormatting>
  <conditionalFormatting sqref="A45:G45 E52:F52">
    <cfRule type="expression" dxfId="169" priority="27">
      <formula>$F$10&lt;3</formula>
    </cfRule>
  </conditionalFormatting>
  <conditionalFormatting sqref="A45:H45">
    <cfRule type="expression" dxfId="168" priority="103">
      <formula>$F$10&lt;3</formula>
    </cfRule>
  </conditionalFormatting>
  <conditionalFormatting sqref="A67:H67">
    <cfRule type="expression" dxfId="163" priority="12">
      <formula>ISNUMBER(SEARCH("exceeds",$A67))</formula>
    </cfRule>
    <cfRule type="expression" dxfId="162" priority="14">
      <formula>ISNUMBER(SEARCH("within",$A67))</formula>
    </cfRule>
  </conditionalFormatting>
  <conditionalFormatting sqref="A41:I41">
    <cfRule type="expression" dxfId="160" priority="99">
      <formula>$F$10&lt;1</formula>
    </cfRule>
  </conditionalFormatting>
  <conditionalFormatting sqref="A43:I43">
    <cfRule type="expression" dxfId="159" priority="107">
      <formula>$F$10&lt;2</formula>
    </cfRule>
  </conditionalFormatting>
  <conditionalFormatting sqref="A47:I47">
    <cfRule type="expression" dxfId="158" priority="100">
      <formula>$F$10&lt;4</formula>
    </cfRule>
  </conditionalFormatting>
  <conditionalFormatting sqref="A43:J43">
    <cfRule type="expression" dxfId="157" priority="212">
      <formula>$F$10&gt;=2</formula>
    </cfRule>
  </conditionalFormatting>
  <conditionalFormatting sqref="A47:J47 H52">
    <cfRule type="expression" dxfId="156" priority="192">
      <formula>$F$10&gt;=4</formula>
    </cfRule>
    <cfRule type="expression" dxfId="155" priority="193">
      <formula>$F$10&lt;4</formula>
    </cfRule>
  </conditionalFormatting>
  <conditionalFormatting sqref="B8">
    <cfRule type="containsBlanks" dxfId="148" priority="515">
      <formula>LEN(TRIM(B8))=0</formula>
    </cfRule>
  </conditionalFormatting>
  <conditionalFormatting sqref="B10">
    <cfRule type="containsBlanks" dxfId="147" priority="44">
      <formula>LEN(TRIM(B10))=0</formula>
    </cfRule>
  </conditionalFormatting>
  <conditionalFormatting sqref="B12:B15">
    <cfRule type="containsBlanks" dxfId="146" priority="41">
      <formula>LEN(TRIM(B12))=0</formula>
    </cfRule>
  </conditionalFormatting>
  <conditionalFormatting sqref="B17">
    <cfRule type="containsBlanks" dxfId="145" priority="114">
      <formula>LEN(TRIM(B17))=0</formula>
    </cfRule>
  </conditionalFormatting>
  <conditionalFormatting sqref="B23">
    <cfRule type="containsBlanks" dxfId="144" priority="486">
      <formula>LEN(TRIM(B23))=0</formula>
    </cfRule>
  </conditionalFormatting>
  <conditionalFormatting sqref="B34">
    <cfRule type="expression" dxfId="143" priority="374">
      <formula>$F$10&gt;=1</formula>
    </cfRule>
    <cfRule type="expression" dxfId="142" priority="435">
      <formula>OR($B$34="",$B$34="[Select an ECM from the dropdown list]")</formula>
    </cfRule>
  </conditionalFormatting>
  <conditionalFormatting sqref="B41">
    <cfRule type="expression" dxfId="140" priority="218">
      <formula>$F$10&gt;=1</formula>
    </cfRule>
  </conditionalFormatting>
  <conditionalFormatting sqref="B43">
    <cfRule type="expression" dxfId="139" priority="210">
      <formula>$F$10&gt;=2</formula>
    </cfRule>
  </conditionalFormatting>
  <conditionalFormatting sqref="B45">
    <cfRule type="expression" dxfId="138" priority="204">
      <formula>$F$10&gt;=3</formula>
    </cfRule>
  </conditionalFormatting>
  <conditionalFormatting sqref="B47 B43 B45 B41">
    <cfRule type="containsBlanks" dxfId="137" priority="512">
      <formula>LEN(TRIM(B41))=0</formula>
    </cfRule>
  </conditionalFormatting>
  <conditionalFormatting sqref="B47">
    <cfRule type="expression" dxfId="136" priority="191">
      <formula>$F$10&gt;=4</formula>
    </cfRule>
  </conditionalFormatting>
  <conditionalFormatting sqref="B52">
    <cfRule type="containsBlanks" dxfId="135" priority="163">
      <formula>LEN(TRIM(B52))=0</formula>
    </cfRule>
    <cfRule type="expression" dxfId="134" priority="162">
      <formula>$F$10&gt;=1</formula>
    </cfRule>
  </conditionalFormatting>
  <conditionalFormatting sqref="B58 B60">
    <cfRule type="containsBlanks" dxfId="133" priority="92">
      <formula>LEN(TRIM(B58))=0</formula>
    </cfRule>
  </conditionalFormatting>
  <conditionalFormatting sqref="B72">
    <cfRule type="expression" dxfId="132" priority="35">
      <formula>ISTEXT($B$72)</formula>
    </cfRule>
  </conditionalFormatting>
  <conditionalFormatting sqref="C34:D34">
    <cfRule type="expression" dxfId="131" priority="69">
      <formula>$F$10&lt;2</formula>
    </cfRule>
  </conditionalFormatting>
  <conditionalFormatting sqref="C52:D52">
    <cfRule type="expression" dxfId="130" priority="160">
      <formula>$F$10&gt;=2</formula>
    </cfRule>
    <cfRule type="expression" dxfId="129" priority="269">
      <formula>$F$10&lt;2</formula>
    </cfRule>
  </conditionalFormatting>
  <conditionalFormatting sqref="D8">
    <cfRule type="containsBlanks" dxfId="128" priority="45">
      <formula>LEN(TRIM(D8))=0</formula>
    </cfRule>
  </conditionalFormatting>
  <conditionalFormatting sqref="D10">
    <cfRule type="containsBlanks" dxfId="127" priority="43">
      <formula>LEN(TRIM(D10))=0</formula>
    </cfRule>
  </conditionalFormatting>
  <conditionalFormatting sqref="D23">
    <cfRule type="containsBlanks" dxfId="126" priority="514">
      <formula>LEN(TRIM(D23))=0</formula>
    </cfRule>
  </conditionalFormatting>
  <conditionalFormatting sqref="D34">
    <cfRule type="expression" dxfId="125" priority="254">
      <formula>$F$10&gt;=2</formula>
    </cfRule>
    <cfRule type="expression" dxfId="123" priority="442">
      <formula>OR($D$34="",$D$34="[Select an ECM from the dropdown list]")</formula>
    </cfRule>
  </conditionalFormatting>
  <conditionalFormatting sqref="D41">
    <cfRule type="expression" dxfId="122" priority="217">
      <formula>$F$10&gt;=1</formula>
    </cfRule>
    <cfRule type="containsBlanks" dxfId="121" priority="491">
      <formula>LEN(TRIM(D41))=0</formula>
    </cfRule>
  </conditionalFormatting>
  <conditionalFormatting sqref="D43">
    <cfRule type="expression" dxfId="120" priority="209">
      <formula>$F$10&gt;=2</formula>
    </cfRule>
    <cfRule type="containsBlanks" dxfId="119" priority="373">
      <formula>LEN(TRIM(D43))=0</formula>
    </cfRule>
  </conditionalFormatting>
  <conditionalFormatting sqref="D45">
    <cfRule type="expression" dxfId="118" priority="202">
      <formula>$F$10&gt;=3</formula>
    </cfRule>
    <cfRule type="containsBlanks" dxfId="117" priority="203">
      <formula>LEN(TRIM(D45))=0</formula>
    </cfRule>
  </conditionalFormatting>
  <conditionalFormatting sqref="D47">
    <cfRule type="expression" dxfId="116" priority="189">
      <formula>$F$10&gt;=4</formula>
    </cfRule>
    <cfRule type="containsBlanks" dxfId="115" priority="297">
      <formula>LEN(TRIM(D47))=0</formula>
    </cfRule>
  </conditionalFormatting>
  <conditionalFormatting sqref="D52">
    <cfRule type="expression" dxfId="114" priority="181">
      <formula>$F$10&gt;=2</formula>
    </cfRule>
    <cfRule type="containsBlanks" dxfId="113" priority="519">
      <formula>LEN(TRIM(D52))=0</formula>
    </cfRule>
    <cfRule type="expression" dxfId="112" priority="40">
      <formula>$F$10&gt;=2</formula>
    </cfRule>
  </conditionalFormatting>
  <conditionalFormatting sqref="D58 D60">
    <cfRule type="containsBlanks" dxfId="111" priority="90">
      <formula>LEN(TRIM(D58))=0</formula>
    </cfRule>
  </conditionalFormatting>
  <conditionalFormatting sqref="D72">
    <cfRule type="expression" dxfId="110" priority="34">
      <formula>ISTEXT($D$72)</formula>
    </cfRule>
  </conditionalFormatting>
  <conditionalFormatting sqref="E34:F34">
    <cfRule type="expression" dxfId="109" priority="68">
      <formula>$F$10&lt;3</formula>
    </cfRule>
  </conditionalFormatting>
  <conditionalFormatting sqref="F8 F10">
    <cfRule type="containsBlanks" dxfId="108" priority="516">
      <formula>LEN(TRIM(F8))=0</formula>
    </cfRule>
  </conditionalFormatting>
  <conditionalFormatting sqref="F23">
    <cfRule type="containsBlanks" dxfId="107" priority="488">
      <formula>LEN(TRIM(F23))=0</formula>
    </cfRule>
  </conditionalFormatting>
  <conditionalFormatting sqref="F34">
    <cfRule type="expression" dxfId="106" priority="117">
      <formula>$F$10&gt;=3</formula>
    </cfRule>
    <cfRule type="expression" dxfId="105" priority="118">
      <formula>OR($F$34="",$F$34="[Select an ECM from the dropdown list]")</formula>
    </cfRule>
  </conditionalFormatting>
  <conditionalFormatting sqref="F41">
    <cfRule type="containsBlanks" dxfId="103" priority="492">
      <formula>LEN(TRIM(F41))=0</formula>
    </cfRule>
    <cfRule type="expression" dxfId="102" priority="216">
      <formula>$F$10&gt;=1</formula>
    </cfRule>
  </conditionalFormatting>
  <conditionalFormatting sqref="F43">
    <cfRule type="containsBlanks" dxfId="101" priority="219">
      <formula>LEN(TRIM(F43))=0</formula>
    </cfRule>
    <cfRule type="expression" dxfId="100" priority="206">
      <formula>$F$10&gt;=2</formula>
    </cfRule>
  </conditionalFormatting>
  <conditionalFormatting sqref="F45">
    <cfRule type="expression" dxfId="99" priority="199">
      <formula>$F$10&gt;=3</formula>
    </cfRule>
    <cfRule type="containsBlanks" dxfId="98" priority="200">
      <formula>LEN(TRIM(F45))=0</formula>
    </cfRule>
  </conditionalFormatting>
  <conditionalFormatting sqref="F47">
    <cfRule type="containsBlanks" dxfId="97" priority="296">
      <formula>LEN(TRIM(F47))=0</formula>
    </cfRule>
    <cfRule type="expression" dxfId="96" priority="188">
      <formula>$F$10&gt;=4</formula>
    </cfRule>
  </conditionalFormatting>
  <conditionalFormatting sqref="F52">
    <cfRule type="expression" dxfId="95" priority="50">
      <formula>$F$10&gt;=3</formula>
    </cfRule>
    <cfRule type="containsBlanks" dxfId="94" priority="39">
      <formula>LEN(TRIM(F52))=0</formula>
    </cfRule>
    <cfRule type="containsBlanks" dxfId="93" priority="482">
      <formula>LEN(TRIM(F52))=0</formula>
    </cfRule>
  </conditionalFormatting>
  <conditionalFormatting sqref="F58 F60">
    <cfRule type="containsBlanks" dxfId="92" priority="89">
      <formula>LEN(TRIM(F58))=0</formula>
    </cfRule>
  </conditionalFormatting>
  <conditionalFormatting sqref="F72">
    <cfRule type="expression" dxfId="91" priority="32">
      <formula>ISTEXT($F$72)</formula>
    </cfRule>
  </conditionalFormatting>
  <conditionalFormatting sqref="G52">
    <cfRule type="expression" dxfId="90" priority="170">
      <formula>$F$10&lt;4</formula>
    </cfRule>
    <cfRule type="expression" dxfId="89" priority="169">
      <formula>$F$10&gt;=4</formula>
    </cfRule>
  </conditionalFormatting>
  <conditionalFormatting sqref="G34:H34 A47:G47 I47">
    <cfRule type="expression" dxfId="88" priority="116">
      <formula>$F$10&lt;4</formula>
    </cfRule>
  </conditionalFormatting>
  <conditionalFormatting sqref="H8">
    <cfRule type="containsBlanks" dxfId="87" priority="158">
      <formula>LEN(TRIM(H8))=0</formula>
    </cfRule>
  </conditionalFormatting>
  <conditionalFormatting sqref="H10">
    <cfRule type="containsBlanks" dxfId="86" priority="42">
      <formula>LEN(TRIM(H10))=0</formula>
    </cfRule>
  </conditionalFormatting>
  <conditionalFormatting sqref="H23">
    <cfRule type="containsBlanks" dxfId="85" priority="157">
      <formula>LEN(TRIM(H23))=0</formula>
    </cfRule>
  </conditionalFormatting>
  <conditionalFormatting sqref="H34">
    <cfRule type="expression" dxfId="83" priority="214">
      <formula>OR($H$34="",$H$34="[Select an ECM from the dropdown list]")</formula>
    </cfRule>
    <cfRule type="expression" dxfId="82" priority="115">
      <formula>$F$10&gt;=4</formula>
    </cfRule>
  </conditionalFormatting>
  <conditionalFormatting sqref="H41">
    <cfRule type="expression" dxfId="81" priority="108">
      <formula>$F$10&gt;=1</formula>
    </cfRule>
  </conditionalFormatting>
  <conditionalFormatting sqref="H43 H41">
    <cfRule type="containsBlanks" dxfId="80" priority="109">
      <formula>LEN(TRIM(H41))=0</formula>
    </cfRule>
  </conditionalFormatting>
  <conditionalFormatting sqref="H43">
    <cfRule type="expression" dxfId="79" priority="106">
      <formula>$F$10&gt;=2</formula>
    </cfRule>
    <cfRule type="containsBlanks" dxfId="78" priority="520">
      <formula>LEN(TRIM(H43))=0</formula>
    </cfRule>
  </conditionalFormatting>
  <conditionalFormatting sqref="H45">
    <cfRule type="expression" dxfId="77" priority="104">
      <formula>$F$10&gt;=3</formula>
    </cfRule>
    <cfRule type="containsBlanks" dxfId="76" priority="105">
      <formula>LEN(TRIM(H45))=0</formula>
    </cfRule>
  </conditionalFormatting>
  <conditionalFormatting sqref="H47">
    <cfRule type="expression" dxfId="75" priority="101">
      <formula>$F$10&gt;=4</formula>
    </cfRule>
    <cfRule type="containsBlanks" dxfId="74" priority="102">
      <formula>LEN(TRIM(H47))=0</formula>
    </cfRule>
  </conditionalFormatting>
  <conditionalFormatting sqref="H52">
    <cfRule type="expression" dxfId="73" priority="49">
      <formula>$F$10&lt;4</formula>
    </cfRule>
    <cfRule type="containsBlanks" dxfId="72" priority="173">
      <formula>LEN(TRIM(H52))=0</formula>
    </cfRule>
    <cfRule type="expression" dxfId="71" priority="179">
      <formula>$F$10&gt;=4</formula>
    </cfRule>
    <cfRule type="expression" dxfId="70" priority="38">
      <formula>OR($F$10="",$F$10=0)</formula>
    </cfRule>
  </conditionalFormatting>
  <conditionalFormatting sqref="H58 H60">
    <cfRule type="containsBlanks" dxfId="69" priority="71">
      <formula>LEN(TRIM(H58))=0</formula>
    </cfRule>
  </conditionalFormatting>
  <conditionalFormatting sqref="H72">
    <cfRule type="expression" dxfId="68" priority="31">
      <formula>ISTEXT($H$72)</formula>
    </cfRule>
  </conditionalFormatting>
  <conditionalFormatting sqref="I45">
    <cfRule type="expression" dxfId="66" priority="159">
      <formula>$F$10&lt;3</formula>
    </cfRule>
  </conditionalFormatting>
  <conditionalFormatting sqref="J8">
    <cfRule type="containsBlanks" dxfId="60" priority="484">
      <formula>LEN(TRIM(J8))=0</formula>
    </cfRule>
  </conditionalFormatting>
  <conditionalFormatting sqref="J23">
    <cfRule type="containsBlanks" dxfId="59" priority="489">
      <formula>LEN(TRIM(J23))=0</formula>
    </cfRule>
  </conditionalFormatting>
  <conditionalFormatting sqref="J41">
    <cfRule type="expression" dxfId="57" priority="215">
      <formula>$F$10&gt;=1</formula>
    </cfRule>
    <cfRule type="expression" dxfId="56" priority="166">
      <formula>$F$10&lt;1</formula>
    </cfRule>
  </conditionalFormatting>
  <conditionalFormatting sqref="J43 J41">
    <cfRule type="containsBlanks" dxfId="55" priority="493">
      <formula>LEN(TRIM(J41))=0</formula>
    </cfRule>
  </conditionalFormatting>
  <conditionalFormatting sqref="J43">
    <cfRule type="expression" dxfId="54" priority="205">
      <formula>$F$10&gt;=2</formula>
    </cfRule>
    <cfRule type="expression" dxfId="53" priority="213">
      <formula>$F$10&lt;2</formula>
    </cfRule>
    <cfRule type="containsBlanks" dxfId="52" priority="521">
      <formula>LEN(TRIM(J43))=0</formula>
    </cfRule>
  </conditionalFormatting>
  <conditionalFormatting sqref="J45">
    <cfRule type="expression" dxfId="51" priority="194">
      <formula>$F$10&lt;3</formula>
    </cfRule>
    <cfRule type="expression" dxfId="50" priority="195">
      <formula>$F$10&gt;=3</formula>
    </cfRule>
    <cfRule type="containsBlanks" dxfId="49" priority="196">
      <formula>LEN(TRIM(J45))=0</formula>
    </cfRule>
  </conditionalFormatting>
  <conditionalFormatting sqref="J47">
    <cfRule type="expression" dxfId="48" priority="184">
      <formula>$F$10&gt;=4</formula>
    </cfRule>
    <cfRule type="containsBlanks" dxfId="47" priority="185">
      <formula>LEN(TRIM(J47))=0</formula>
    </cfRule>
    <cfRule type="expression" dxfId="46" priority="183">
      <formula>$F$10&lt;4</formula>
    </cfRule>
    <cfRule type="containsBlanks" dxfId="45" priority="497">
      <formula>LEN(TRIM(J47))=0</formula>
    </cfRule>
  </conditionalFormatting>
  <conditionalFormatting sqref="J58">
    <cfRule type="containsBlanks" dxfId="44" priority="26">
      <formula>LEN(TRIM(J58))=0</formula>
    </cfRule>
  </conditionalFormatting>
  <conditionalFormatting sqref="J60">
    <cfRule type="containsBlanks" dxfId="43" priority="25">
      <formula>LEN(TRIM(J60))=0</formula>
    </cfRule>
  </conditionalFormatting>
  <conditionalFormatting sqref="J65">
    <cfRule type="expression" dxfId="42" priority="175">
      <formula>ISNUMBER(SEARCH("exceeds",$A65))</formula>
    </cfRule>
    <cfRule type="expression" dxfId="41" priority="229">
      <formula>ISNUMBER(SEARCH("within",$A65))</formula>
    </cfRule>
  </conditionalFormatting>
  <conditionalFormatting sqref="J67">
    <cfRule type="expression" dxfId="40" priority="13">
      <formula>ISNUMBER(SEARCH("within",$A67))</formula>
    </cfRule>
    <cfRule type="expression" dxfId="39" priority="9">
      <formula>ISNUMBER(SEARCH("exceeds",$A67))</formula>
    </cfRule>
  </conditionalFormatting>
  <conditionalFormatting sqref="J72">
    <cfRule type="expression" dxfId="38" priority="30">
      <formula>ISTEXT($J$72)</formula>
    </cfRule>
  </conditionalFormatting>
  <dataValidations count="2">
    <dataValidation type="list" errorStyle="warning" showInputMessage="1" sqref="B12" xr:uid="{0C045427-8A1C-48BC-A607-4E71E6D7ED01}">
      <formula1>"No,Yes"</formula1>
    </dataValidation>
    <dataValidation type="textLength" operator="lessThanOrEqual" allowBlank="1" showInputMessage="1" showErrorMessage="1" errorTitle="250 Character Limit" error="Please limit the project description to 250 characters." sqref="B17:J17" xr:uid="{1FB964A5-BC7F-4F1C-9DFB-6B2E4AE17075}">
      <formula1>250</formula1>
    </dataValidation>
  </dataValidations>
  <hyperlinks>
    <hyperlink ref="C12" r:id="rId1" display="  Click here to check if your building is covered by State BEPS here" xr:uid="{DCF64DF5-AAC9-4B4C-816E-FC801A1AD42D}"/>
    <hyperlink ref="C13" r:id="rId2" display="  Check if your building is covered by Montgomery County BEPS here" xr:uid="{12C0F93D-F4EB-44C8-9755-0FEE4F162BB9}"/>
    <hyperlink ref="C15" r:id="rId3" display="Click here to check if your K-12 Public School is located in an Overburdened Census Tract" xr:uid="{3FF05D04-224C-4FF7-A883-1C601E54CCB7}"/>
    <hyperlink ref="C14" r:id="rId4" xr:uid="{F407A92F-6858-446A-BF55-19E24EB6B55F}"/>
  </hyperlinks>
  <pageMargins left="0.7" right="0.7" top="0.75" bottom="0.75" header="0.3" footer="0.3"/>
  <pageSetup orientation="portrait" r:id="rId5"/>
  <drawing r:id="rId6"/>
  <legacyDrawing r:id="rId7"/>
  <extLst>
    <ext xmlns:x14="http://schemas.microsoft.com/office/spreadsheetml/2009/9/main" uri="{78C0D931-6437-407d-A8EE-F0AAD7539E65}">
      <x14:conditionalFormattings>
        <x14:conditionalFormatting xmlns:xm="http://schemas.microsoft.com/office/excel/2006/main">
          <x14:cfRule type="expression" priority="24" id="{BF168719-F883-45C7-8E83-2D2944D96D67}">
            <xm:f>OR(     $H$10='Dev. Notes'!$B$4,     $H$10='Dev. Notes'!$B$6,     $B$10='Dev. Notes'!$B$17 )</xm:f>
            <x14:dxf>
              <font>
                <color rgb="FFF0F9FA"/>
              </font>
              <fill>
                <patternFill>
                  <bgColor rgb="FFF0F9FA"/>
                </patternFill>
              </fill>
              <border>
                <right/>
                <bottom/>
                <vertical/>
                <horizontal/>
              </border>
            </x14:dxf>
          </x14:cfRule>
          <xm:sqref>A58:H58</xm:sqref>
        </x14:conditionalFormatting>
        <x14:conditionalFormatting xmlns:xm="http://schemas.microsoft.com/office/excel/2006/main">
          <x14:cfRule type="expression" priority="20" id="{089B09DD-C012-42AC-8BEF-D6C065981DAC}">
            <xm:f>OR(     $H$10='Dev. Notes'!$B$4,     $H$10='Dev. Notes'!$B$5,     $B$10='Dev. Notes'!$B$17 )</xm:f>
            <x14:dxf>
              <font>
                <color rgb="FFF0F9FA"/>
              </font>
              <fill>
                <patternFill>
                  <bgColor rgb="FFF0F9FA"/>
                </patternFill>
              </fill>
              <border>
                <right/>
                <bottom/>
                <vertical/>
                <horizontal/>
              </border>
            </x14:dxf>
          </x14:cfRule>
          <xm:sqref>A60:H60</xm:sqref>
        </x14:conditionalFormatting>
        <x14:conditionalFormatting xmlns:xm="http://schemas.microsoft.com/office/excel/2006/main">
          <x14:cfRule type="expression" priority="16" id="{A0A736A4-C218-4CAA-9577-8C673A29A8E5}">
            <xm:f>OR(     $H$10='Dev. Notes'!$B$4,     $H$10='Dev. Notes'!$B$6,     $B$10='Dev. Notes'!$B$17)</xm:f>
            <x14:dxf>
              <font>
                <color rgb="FFF0F9FA"/>
              </font>
              <fill>
                <patternFill>
                  <bgColor rgb="FFF0F9FA"/>
                </patternFill>
              </fill>
              <border>
                <right/>
                <bottom/>
                <vertical/>
                <horizontal/>
              </border>
            </x14:dxf>
          </x14:cfRule>
          <xm:sqref>A65:H65</xm:sqref>
        </x14:conditionalFormatting>
        <x14:conditionalFormatting xmlns:xm="http://schemas.microsoft.com/office/excel/2006/main">
          <x14:cfRule type="expression" priority="10" id="{2338956F-0D0B-4AE7-A4FF-43541097021D}">
            <xm:f>OR(     $H$10='Dev. Notes'!$B$4,     $H$10='Dev. Notes'!$B$5,     $B$10='Dev. Notes'!$B$17 )</xm:f>
            <x14:dxf>
              <font>
                <color rgb="FFF0F9FA"/>
              </font>
              <fill>
                <patternFill>
                  <bgColor rgb="FFF0F9FA"/>
                </patternFill>
              </fill>
              <border>
                <right/>
                <vertical/>
                <horizontal/>
              </border>
            </x14:dxf>
          </x14:cfRule>
          <xm:sqref>A67:H67</xm:sqref>
        </x14:conditionalFormatting>
        <x14:conditionalFormatting xmlns:xm="http://schemas.microsoft.com/office/excel/2006/main">
          <x14:cfRule type="expression" priority="517" id="{C090708B-1E4D-40A8-A381-DCB129B18FB6}">
            <xm:f>#REF!='Dev. Notes'!$B$7</xm:f>
            <x14:dxf>
              <font>
                <color rgb="FFF0F9FA"/>
              </font>
              <fill>
                <patternFill>
                  <bgColor rgb="FFF0F9FA"/>
                </patternFill>
              </fill>
              <border>
                <right/>
                <bottom/>
                <vertical/>
                <horizontal/>
              </border>
            </x14:dxf>
          </x14:cfRule>
          <xm:sqref>A28:I28</xm:sqref>
        </x14:conditionalFormatting>
        <x14:conditionalFormatting xmlns:xm="http://schemas.microsoft.com/office/excel/2006/main">
          <x14:cfRule type="expression" priority="22" id="{2589A972-3718-4349-85A3-F2307F47B9B0}">
            <xm:f>OR(     $H$10='Dev. Notes'!$B$4,     $H$10='Dev. Notes'!$B$6,     $B$10='Dev. Notes'!$B$17 )</xm:f>
            <x14:dxf>
              <font>
                <color rgb="FFF0F9FA"/>
              </font>
              <fill>
                <patternFill>
                  <bgColor rgb="FFF0F9FA"/>
                </patternFill>
              </fill>
              <border>
                <bottom/>
                <vertical/>
                <horizontal/>
              </border>
            </x14:dxf>
          </x14:cfRule>
          <xm:sqref>A57:J57</xm:sqref>
        </x14:conditionalFormatting>
        <x14:conditionalFormatting xmlns:xm="http://schemas.microsoft.com/office/excel/2006/main">
          <x14:cfRule type="expression" priority="8" id="{4B2D22E5-029D-4BD7-A2F8-8288215D1C9D}">
            <xm:f>OR(     $H$10='Dev. Notes'!$B$4,     $B$10='Dev. Notes'!$B$17 )</xm:f>
            <x14:dxf>
              <font>
                <color rgb="FF004064"/>
              </font>
              <fill>
                <patternFill>
                  <bgColor rgb="FFF0F9FA"/>
                </patternFill>
              </fill>
              <border>
                <bottom/>
                <vertical/>
                <horizontal/>
              </border>
            </x14:dxf>
          </x14:cfRule>
          <x14:cfRule type="expression" priority="21" id="{502FD5F8-A91F-4CF5-B00A-596D352FB6FC}">
            <xm:f>OR(     $H$10='Dev. Notes'!$B$4,     $H$10='Dev. Notes'!$B$5,     $B$10='Dev. Notes'!$B$17 )</xm:f>
            <x14:dxf>
              <font>
                <color rgb="FFF0F9FA"/>
              </font>
              <fill>
                <patternFill>
                  <bgColor rgb="FFF0F9FA"/>
                </patternFill>
              </fill>
              <border>
                <bottom/>
                <vertical/>
                <horizontal/>
              </border>
            </x14:dxf>
          </x14:cfRule>
          <xm:sqref>A59:J59</xm:sqref>
        </x14:conditionalFormatting>
        <x14:conditionalFormatting xmlns:xm="http://schemas.microsoft.com/office/excel/2006/main">
          <x14:cfRule type="expression" priority="18" id="{EC59DD70-EB49-4B99-82C5-1420A846D39F}">
            <xm:f>OR(     $H$10='Dev. Notes'!$B$4,     $H$10='Dev. Notes'!$B$6,     $B$10='Dev. Notes'!$B$17 )</xm:f>
            <x14:dxf>
              <font>
                <color rgb="FFF0F9FA"/>
              </font>
              <fill>
                <patternFill>
                  <bgColor rgb="FFF0F9FA"/>
                </patternFill>
              </fill>
              <border>
                <bottom/>
                <vertical/>
                <horizontal/>
              </border>
            </x14:dxf>
          </x14:cfRule>
          <xm:sqref>A64:J64</xm:sqref>
        </x14:conditionalFormatting>
        <x14:conditionalFormatting xmlns:xm="http://schemas.microsoft.com/office/excel/2006/main">
          <x14:cfRule type="expression" priority="7" id="{AB8CCE99-C1DC-45AE-B07F-6515756BB3EB}">
            <xm:f>OR(     $H$10='Dev. Notes'!$B$4,     $B$10='Dev. Notes'!$B$17 )</xm:f>
            <x14:dxf>
              <font>
                <color rgb="FF004064"/>
              </font>
              <fill>
                <patternFill>
                  <bgColor rgb="FFF0F9FA"/>
                </patternFill>
              </fill>
              <border>
                <bottom/>
                <vertical/>
                <horizontal/>
              </border>
            </x14:dxf>
          </x14:cfRule>
          <x14:cfRule type="expression" priority="17" id="{72B16A65-68C6-4E4F-B485-6358888D49BC}">
            <xm:f>OR(     $H$10='Dev. Notes'!$B$4,     $H$10='Dev. Notes'!$B$5,     $B$10='Dev. Notes'!$B$17 )</xm:f>
            <x14:dxf>
              <font>
                <color rgb="FFF0F9FA"/>
              </font>
              <fill>
                <patternFill>
                  <bgColor rgb="FFF0F9FA"/>
                </patternFill>
              </fill>
              <border>
                <bottom/>
                <vertical/>
                <horizontal/>
              </border>
            </x14:dxf>
          </x14:cfRule>
          <xm:sqref>A66:J66</xm:sqref>
        </x14:conditionalFormatting>
        <x14:conditionalFormatting xmlns:xm="http://schemas.microsoft.com/office/excel/2006/main">
          <x14:cfRule type="expression" priority="4" stopIfTrue="1" id="{21EA07BA-8BCB-4E6E-BFFE-30212A2B3543}">
            <xm:f>AND(     $F$10&gt;=1,     B34&lt;&gt;"",     IFERROR(         OR(             AND(                 INDEX('Embedded Values'!$F$22:$F$34,MATCH(B34,'Embedded Values'!$B$22:$B$34,0))&lt;&gt;"All",                 NOT(                     ISNUMBER(                         SEARCH(                             ";"&amp;$B$10&amp;";",                             ";"&amp;SUBSTITUTE(                                 INDEX('Embedded Values'!$F$22:$F$34,MATCH(B34,'Embedded Values'!$B$22:$B$34,0)),                                 "; ",                                 ";"                             )&amp;";"                         )                     )                 )             ),             AND(                 INDEX('Embedded Values'!$E$22:$E$34,MATCH(B34,'Embedded Values'!$B$22:$B$34,0))="Tandem",                 'Dev. Notes'!$C$93=FALSE             )         ),         FALSE     ) )</xm:f>
            <x14:dxf>
              <font>
                <color rgb="FFBE5201"/>
              </font>
            </x14:dxf>
          </x14:cfRule>
          <xm:sqref>B34</xm:sqref>
        </x14:conditionalFormatting>
        <x14:conditionalFormatting xmlns:xm="http://schemas.microsoft.com/office/excel/2006/main">
          <x14:cfRule type="expression" priority="3" stopIfTrue="1" id="{8F8DD65F-5FBD-4CCA-8495-9596275B3B88}">
            <xm:f>AND(     $F$10&gt;=2,     D34&lt;&gt;"",     IFERROR(         OR(             AND(                 INDEX('Embedded Values'!$F$22:$F$34,MATCH(D34,'Embedded Values'!$B$22:$B$34,0))&lt;&gt;"All",                 NOT(                     ISNUMBER(                         SEARCH(                             ";"&amp;$B$10&amp;";",                             ";"&amp;SUBSTITUTE(                                 INDEX('Embedded Values'!$F$22:$F$34,MATCH(D34,'Embedded Values'!$B$22:$B$34,0)),                                 "; ",                                 ";"                             )&amp;";"                         )                     )                 )             ),             AND(                 INDEX('Embedded Values'!$E$22:$E$34,MATCH(D34,'Embedded Values'!$B$22:$B$34,0))="Tandem",                 'Dev. Notes'!$C$93=FALSE             )         ),         FALSE     ) )</xm:f>
            <x14:dxf>
              <font>
                <color rgb="FFBE5201"/>
              </font>
            </x14:dxf>
          </x14:cfRule>
          <xm:sqref>D34</xm:sqref>
        </x14:conditionalFormatting>
        <x14:conditionalFormatting xmlns:xm="http://schemas.microsoft.com/office/excel/2006/main">
          <x14:cfRule type="expression" priority="2" stopIfTrue="1" id="{3235D991-3298-46F1-A9DD-7F15D988B967}">
            <xm:f>AND(     $F$10&gt;=3,     F34&lt;&gt;"",     IFERROR(         OR(             AND(                 INDEX('Embedded Values'!$F$22:$F$34,MATCH(F34,'Embedded Values'!$B$22:$B$34,0))&lt;&gt;"All",                 NOT(                     ISNUMBER(                         SEARCH(                             ";"&amp;$B$10&amp;";",                             ";"&amp;SUBSTITUTE(                                 INDEX('Embedded Values'!$F$22:$F$34,MATCH(F34,'Embedded Values'!$B$22:$B$34,0)),                                 "; ",                                 ";"                             )&amp;";"                         )                     )                 )             ),             AND(                 INDEX('Embedded Values'!$E$22:$E$34,MATCH(F34,'Embedded Values'!$B$22:$B$34,0))="Tandem",                 'Dev. Notes'!$C$93=FALSE             )         ),         FALSE     ) )</xm:f>
            <x14:dxf>
              <font>
                <color rgb="FFBE5201"/>
              </font>
            </x14:dxf>
          </x14:cfRule>
          <xm:sqref>F34</xm:sqref>
        </x14:conditionalFormatting>
        <x14:conditionalFormatting xmlns:xm="http://schemas.microsoft.com/office/excel/2006/main">
          <x14:cfRule type="expression" priority="1" stopIfTrue="1" id="{0923DA0C-54D1-4161-BD20-901A65EACF3D}">
            <xm:f>AND(     $F$10&gt;=4,     H34&lt;&gt;"",     IFERROR(         OR(             AND(                 INDEX('Embedded Values'!$F$22:$F$34,MATCH(H34,'Embedded Values'!$B$22:$B$34,0))&lt;&gt;"All",                 NOT(                     ISNUMBER(                         SEARCH(                             ";"&amp;$B$10&amp;";",                             ";"&amp;SUBSTITUTE(                                 INDEX('Embedded Values'!$F$22:$F$34,MATCH(H34,'Embedded Values'!$B$22:$B$34,0)),                                 "; ",                                 ";"                             )&amp;";"                         )                     )                 )             ),             AND(                 INDEX('Embedded Values'!$E$22:$E$34,MATCH(H34,'Embedded Values'!$B$22:$B$34,0))="Tandem",                 'Dev. Notes'!$C$93=FALSE             )         ),         FALSE     ) )</xm:f>
            <x14:dxf>
              <font>
                <color rgb="FFBE5201"/>
              </font>
            </x14:dxf>
          </x14:cfRule>
          <xm:sqref>H34</xm:sqref>
        </x14:conditionalFormatting>
        <x14:conditionalFormatting xmlns:xm="http://schemas.microsoft.com/office/excel/2006/main">
          <x14:cfRule type="expression" priority="54" id="{00000000-000E-0000-0100-000030000000}">
            <xm:f>OR( $F$10="", AND( $F$10&gt;0, 'Dev. Notes'!$C$94=FALSE, 'Dev. Notes'!$C$100=FALSE ) )</xm:f>
            <x14:dxf>
              <font>
                <color rgb="FFF0F9FA"/>
              </font>
            </x14:dxf>
          </x14:cfRule>
          <xm:sqref>I34</xm:sqref>
        </x14:conditionalFormatting>
        <x14:conditionalFormatting xmlns:xm="http://schemas.microsoft.com/office/excel/2006/main">
          <x14:cfRule type="expression" priority="5" id="{9B93DCF5-04A2-40AB-BDFC-C7607DA24819}">
            <xm:f>AND( $F$10&gt;0, OR( 'Dev. Notes'!$C$94=TRUE, 'Dev. Notes'!$C$100=TRUE ) )</xm:f>
            <x14:dxf>
              <font>
                <color rgb="FFBE5201"/>
              </font>
            </x14:dxf>
          </x14:cfRule>
          <xm:sqref>I34:J34</xm:sqref>
        </x14:conditionalFormatting>
        <x14:conditionalFormatting xmlns:xm="http://schemas.microsoft.com/office/excel/2006/main">
          <x14:cfRule type="expression" priority="23" id="{31CED10E-E18D-4BB1-9C9F-26CDE25D76A5}">
            <xm:f>OR(     $H$10='Dev. Notes'!$B$4,     $H$10='Dev. Notes'!$B$6,     $B$10='Dev. Notes'!$B$17 )</xm:f>
            <x14:dxf>
              <font>
                <color rgb="FFF0F9FA"/>
              </font>
              <fill>
                <patternFill>
                  <bgColor rgb="FFF0F9FA"/>
                </patternFill>
              </fill>
              <border>
                <bottom/>
              </border>
            </x14:dxf>
          </x14:cfRule>
          <xm:sqref>I58:J58</xm:sqref>
        </x14:conditionalFormatting>
        <x14:conditionalFormatting xmlns:xm="http://schemas.microsoft.com/office/excel/2006/main">
          <x14:cfRule type="expression" priority="19" id="{FC5FA2FB-38BD-4C44-8183-667BF4938774}">
            <xm:f>OR(     $H$10='Dev. Notes'!$B$4,     $H$10='Dev. Notes'!$B$5,     $B$10='Dev. Notes'!$B$17 )</xm:f>
            <x14:dxf>
              <font>
                <color rgb="FFF0F9FA"/>
              </font>
              <fill>
                <patternFill>
                  <bgColor rgb="FFF0F9FA"/>
                </patternFill>
              </fill>
              <border>
                <bottom/>
                <vertical/>
                <horizontal/>
              </border>
            </x14:dxf>
          </x14:cfRule>
          <xm:sqref>I60:J60</xm:sqref>
        </x14:conditionalFormatting>
        <x14:conditionalFormatting xmlns:xm="http://schemas.microsoft.com/office/excel/2006/main">
          <x14:cfRule type="expression" priority="15" id="{E759FFF0-94D1-4747-B9FB-A7DB7821DC19}">
            <xm:f>OR(     $H$10='Dev. Notes'!$B$4,     $H$10='Dev. Notes'!$B$6,     $B$10='Dev. Notes'!$B$17 )</xm:f>
            <x14:dxf>
              <font>
                <color rgb="FFF0F9FA"/>
              </font>
              <fill>
                <patternFill>
                  <bgColor rgb="FFF0F9FA"/>
                </patternFill>
              </fill>
              <border>
                <bottom/>
                <vertical/>
                <horizontal/>
              </border>
            </x14:dxf>
          </x14:cfRule>
          <xm:sqref>I65:J65</xm:sqref>
        </x14:conditionalFormatting>
        <x14:conditionalFormatting xmlns:xm="http://schemas.microsoft.com/office/excel/2006/main">
          <x14:cfRule type="expression" priority="11" id="{D7083E4C-47AB-4ECD-BE20-53ECFE07D8C9}">
            <xm:f>OR(     $H$10='Dev. Notes'!$B$4,     $H$10='Dev. Notes'!$B$5,     $B$10='Dev. Notes'!$B$17 )</xm:f>
            <x14:dxf>
              <font>
                <color rgb="FFF0F9FA"/>
              </font>
              <fill>
                <patternFill>
                  <bgColor rgb="FFF0F9FA"/>
                </patternFill>
              </fill>
              <border>
                <vertical/>
                <horizontal/>
              </border>
            </x14:dxf>
          </x14:cfRule>
          <xm:sqref>I67:J67</xm:sqref>
        </x14:conditionalFormatting>
        <x14:conditionalFormatting xmlns:xm="http://schemas.microsoft.com/office/excel/2006/main">
          <x14:cfRule type="expression" priority="518" id="{E854EE4B-6AF0-41E8-A9C2-CD750267A298}">
            <xm:f>#REF!='Dev. Notes'!$B$7</xm:f>
            <x14:dxf>
              <font>
                <color rgb="FFF0F9FA"/>
              </font>
              <fill>
                <patternFill>
                  <bgColor rgb="FFF0F9FA"/>
                </patternFill>
              </fill>
              <border>
                <bottom/>
                <vertical/>
                <horizontal/>
              </border>
            </x14:dxf>
          </x14:cfRule>
          <xm:sqref>J28</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DA77679B-7DA2-4C1A-9636-9EB0678089CC}">
          <x14:formula1>
            <xm:f>'Dev. Notes'!$B$10:$B$14</xm:f>
          </x14:formula1>
          <xm:sqref>F10</xm:sqref>
        </x14:dataValidation>
        <x14:dataValidation type="list" errorStyle="warning" showInputMessage="1" xr:uid="{B7B200C4-08A5-4E4A-8DB3-3AAABC619677}">
          <x14:formula1>
            <xm:f>'Dev. Notes'!$B$17:$B$21</xm:f>
          </x14:formula1>
          <xm:sqref>B10</xm:sqref>
        </x14:dataValidation>
        <x14:dataValidation type="list" errorStyle="warning" showInputMessage="1" xr:uid="{9B9DE9A7-AC3B-4836-93DE-62EF95980A32}">
          <x14:formula1>
            <xm:f>'Dev. Notes'!$B$4:$B$7</xm:f>
          </x14:formula1>
          <xm:sqref>H10</xm:sqref>
        </x14:dataValidation>
        <x14:dataValidation type="list" allowBlank="1" showInputMessage="1" showErrorMessage="1" xr:uid="{F5C8B679-7F78-4180-8557-3D9A6D5EE755}">
          <x14:formula1>
            <xm:f>'Dev. Notes'!$B$28:$B$29</xm:f>
          </x14:formula1>
          <xm:sqref>D58 D60 D60 D58</xm:sqref>
        </x14:dataValidation>
        <x14:dataValidation type="list" allowBlank="1" showInputMessage="1" showErrorMessage="1" xr:uid="{52634811-DA0D-4B77-8B69-3EC294D8F464}">
          <x14:formula1>
            <xm:f>'Dev. Notes'!$B$55:$B$78</xm:f>
          </x14:formula1>
          <xm:sqref>F8</xm:sqref>
        </x14:dataValidation>
        <x14:dataValidation type="list" allowBlank="1" showInputMessage="1" showErrorMessage="1" xr:uid="{4DA93BA1-4EB9-4817-9D85-B2F0B9AAECF6}">
          <x14:formula1>
            <xm:f>'Embedded Values'!$B$21:$B$33</xm:f>
          </x14:formula1>
          <xm:sqref>F34:H34 B34 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3BF-A48F-4F80-B5E6-F8CA458BB85C}">
  <sheetPr>
    <tabColor rgb="FFFFC000"/>
  </sheetPr>
  <dimension ref="A1:L43"/>
  <sheetViews>
    <sheetView showGridLines="0" topLeftCell="A25" zoomScale="70" zoomScaleNormal="70" workbookViewId="0">
      <selection activeCell="G35" sqref="G35"/>
    </sheetView>
  </sheetViews>
  <sheetFormatPr defaultColWidth="8.6640625" defaultRowHeight="13.2" x14ac:dyDescent="0.25"/>
  <cols>
    <col min="1" max="2" width="42.44140625" customWidth="1"/>
    <col min="3" max="6" width="35.6640625" customWidth="1"/>
  </cols>
  <sheetData>
    <row r="1" spans="1:12" ht="14.25" customHeight="1" x14ac:dyDescent="0.25">
      <c r="A1" s="85"/>
      <c r="B1" s="161"/>
      <c r="C1" s="161"/>
      <c r="D1" s="161"/>
      <c r="E1" s="161"/>
      <c r="F1" s="86"/>
    </row>
    <row r="2" spans="1:12" ht="166.5" customHeight="1" x14ac:dyDescent="0.25">
      <c r="A2" s="87"/>
      <c r="B2" s="256"/>
      <c r="C2" s="256"/>
      <c r="D2" s="256"/>
      <c r="E2" s="256"/>
      <c r="F2" s="88"/>
    </row>
    <row r="3" spans="1:12" s="89" customFormat="1" ht="39.75" customHeight="1" x14ac:dyDescent="0.3">
      <c r="A3" s="301" t="s">
        <v>118</v>
      </c>
      <c r="B3" s="327"/>
      <c r="C3" s="327"/>
      <c r="D3" s="327"/>
      <c r="E3" s="327"/>
      <c r="F3" s="302"/>
      <c r="G3"/>
      <c r="H3"/>
      <c r="I3"/>
      <c r="J3"/>
      <c r="K3"/>
      <c r="L3"/>
    </row>
    <row r="4" spans="1:12" s="257" customFormat="1" ht="43.5" customHeight="1" x14ac:dyDescent="0.25">
      <c r="A4" s="328" t="s">
        <v>119</v>
      </c>
      <c r="B4" s="329"/>
      <c r="C4" s="329"/>
      <c r="D4" s="329"/>
      <c r="E4" s="329"/>
      <c r="F4" s="330"/>
    </row>
    <row r="5" spans="1:12" s="29" customFormat="1" ht="13.5" customHeight="1" x14ac:dyDescent="0.3">
      <c r="A5" s="90"/>
      <c r="B5" s="90"/>
      <c r="C5" s="90"/>
      <c r="D5" s="90"/>
      <c r="E5" s="90"/>
      <c r="F5" s="91"/>
      <c r="G5"/>
      <c r="H5"/>
      <c r="I5"/>
      <c r="J5"/>
      <c r="K5"/>
      <c r="L5"/>
    </row>
    <row r="6" spans="1:12" ht="44.1" customHeight="1" x14ac:dyDescent="0.25">
      <c r="A6" s="258" t="s">
        <v>120</v>
      </c>
      <c r="B6" s="259" t="str">
        <f>IF('User Inputs'!$B$8="","",'User Inputs'!$B$8)</f>
        <v/>
      </c>
      <c r="C6" s="260" t="s">
        <v>121</v>
      </c>
      <c r="D6" s="338" t="str">
        <f>IFERROR(IF('User Inputs'!$B$17="","",'User Inputs'!$B$17),"")</f>
        <v/>
      </c>
      <c r="E6" s="339"/>
      <c r="F6" s="340"/>
    </row>
    <row r="7" spans="1:12" s="29" customFormat="1" ht="13.5" customHeight="1" x14ac:dyDescent="0.3">
      <c r="A7" s="90"/>
      <c r="B7" s="90"/>
      <c r="C7" s="90"/>
      <c r="D7" s="90"/>
      <c r="E7" s="90"/>
      <c r="F7" s="91"/>
      <c r="G7"/>
      <c r="H7"/>
      <c r="I7"/>
      <c r="J7"/>
      <c r="K7"/>
      <c r="L7"/>
    </row>
    <row r="8" spans="1:12" s="92" customFormat="1" ht="43.5" customHeight="1" x14ac:dyDescent="0.25">
      <c r="A8" s="331" t="s">
        <v>122</v>
      </c>
      <c r="B8" s="332"/>
      <c r="C8" s="332"/>
      <c r="D8" s="332"/>
      <c r="E8" s="332"/>
      <c r="F8" s="333"/>
    </row>
    <row r="9" spans="1:12" s="92" customFormat="1" ht="39.9" customHeight="1" x14ac:dyDescent="0.25">
      <c r="A9" s="261" t="s">
        <v>123</v>
      </c>
      <c r="B9" s="262"/>
      <c r="C9" s="262"/>
      <c r="D9" s="262"/>
      <c r="E9" s="262"/>
      <c r="F9" s="263"/>
    </row>
    <row r="10" spans="1:12" ht="43.5" customHeight="1" x14ac:dyDescent="0.25">
      <c r="A10" s="264" t="s">
        <v>124</v>
      </c>
      <c r="B10" s="265"/>
      <c r="C10" s="266" t="s">
        <v>125</v>
      </c>
      <c r="D10" s="267"/>
      <c r="E10" s="266" t="s">
        <v>126</v>
      </c>
      <c r="F10" s="268"/>
    </row>
    <row r="11" spans="1:12" ht="30" customHeight="1" x14ac:dyDescent="0.25">
      <c r="A11" s="325"/>
      <c r="B11" s="326"/>
      <c r="C11" s="334"/>
      <c r="D11" s="335"/>
      <c r="E11" s="336">
        <f>IFERROR(C11/$C$19,0)</f>
        <v>0</v>
      </c>
      <c r="F11" s="337"/>
    </row>
    <row r="12" spans="1:12" ht="30" customHeight="1" x14ac:dyDescent="0.25">
      <c r="A12" s="325"/>
      <c r="B12" s="326"/>
      <c r="C12" s="334"/>
      <c r="D12" s="335"/>
      <c r="E12" s="336">
        <f t="shared" ref="E12:E17" si="0">IFERROR(C12/$C$19,0)</f>
        <v>0</v>
      </c>
      <c r="F12" s="337"/>
    </row>
    <row r="13" spans="1:12" ht="30" customHeight="1" x14ac:dyDescent="0.25">
      <c r="A13" s="325"/>
      <c r="B13" s="326"/>
      <c r="C13" s="334"/>
      <c r="D13" s="335"/>
      <c r="E13" s="336">
        <f t="shared" si="0"/>
        <v>0</v>
      </c>
      <c r="F13" s="337"/>
    </row>
    <row r="14" spans="1:12" ht="30" customHeight="1" x14ac:dyDescent="0.25">
      <c r="A14" s="325"/>
      <c r="B14" s="326"/>
      <c r="C14" s="334"/>
      <c r="D14" s="335"/>
      <c r="E14" s="336">
        <f t="shared" si="0"/>
        <v>0</v>
      </c>
      <c r="F14" s="337"/>
    </row>
    <row r="15" spans="1:12" ht="30" customHeight="1" x14ac:dyDescent="0.25">
      <c r="A15" s="325"/>
      <c r="B15" s="326"/>
      <c r="C15" s="334"/>
      <c r="D15" s="335"/>
      <c r="E15" s="336">
        <f t="shared" si="0"/>
        <v>0</v>
      </c>
      <c r="F15" s="337"/>
    </row>
    <row r="16" spans="1:12" ht="30" customHeight="1" x14ac:dyDescent="0.25">
      <c r="A16" s="325"/>
      <c r="B16" s="326"/>
      <c r="C16" s="334"/>
      <c r="D16" s="335"/>
      <c r="E16" s="336">
        <f t="shared" si="0"/>
        <v>0</v>
      </c>
      <c r="F16" s="337"/>
    </row>
    <row r="17" spans="1:12" ht="30" customHeight="1" x14ac:dyDescent="0.25">
      <c r="A17" s="325"/>
      <c r="B17" s="326"/>
      <c r="C17" s="334"/>
      <c r="D17" s="335"/>
      <c r="E17" s="336">
        <f t="shared" si="0"/>
        <v>0</v>
      </c>
      <c r="F17" s="337"/>
    </row>
    <row r="18" spans="1:12" ht="30" customHeight="1" thickBot="1" x14ac:dyDescent="0.3">
      <c r="A18" s="341" t="s">
        <v>127</v>
      </c>
      <c r="B18" s="342"/>
      <c r="C18" s="345" t="str">
        <f>'Calculated Metrics'!$F$32</f>
        <v>Select building type in cell B10 of user inputs</v>
      </c>
      <c r="D18" s="346"/>
      <c r="E18" s="336">
        <f t="shared" ref="E18" si="1">IFERROR(C18/$C$19,0)</f>
        <v>0</v>
      </c>
      <c r="F18" s="337"/>
    </row>
    <row r="19" spans="1:12" ht="30" customHeight="1" thickTop="1" x14ac:dyDescent="0.25">
      <c r="A19" s="343" t="s">
        <v>128</v>
      </c>
      <c r="B19" s="344"/>
      <c r="C19" s="347">
        <f>SUM($C$11:$D$18)</f>
        <v>0</v>
      </c>
      <c r="D19" s="348"/>
      <c r="E19" s="349">
        <f>SUM($E$11:$F$18)</f>
        <v>0</v>
      </c>
      <c r="F19" s="350"/>
    </row>
    <row r="20" spans="1:12" s="29" customFormat="1" ht="13.5" customHeight="1" x14ac:dyDescent="0.3">
      <c r="A20" s="90"/>
      <c r="B20" s="90"/>
      <c r="C20" s="90"/>
      <c r="D20" s="90"/>
      <c r="E20" s="90"/>
      <c r="F20" s="91"/>
      <c r="G20"/>
      <c r="H20"/>
      <c r="I20"/>
      <c r="J20"/>
      <c r="K20"/>
      <c r="L20"/>
    </row>
    <row r="21" spans="1:12" s="29" customFormat="1" ht="43.5" customHeight="1" x14ac:dyDescent="0.3">
      <c r="A21" s="331" t="s">
        <v>129</v>
      </c>
      <c r="B21" s="332"/>
      <c r="C21" s="332"/>
      <c r="D21" s="332"/>
      <c r="E21" s="332"/>
      <c r="F21" s="333"/>
      <c r="G21"/>
      <c r="H21"/>
      <c r="I21"/>
      <c r="J21"/>
      <c r="K21"/>
      <c r="L21"/>
    </row>
    <row r="22" spans="1:12" s="29" customFormat="1" ht="43.5" customHeight="1" x14ac:dyDescent="0.3">
      <c r="A22" s="264" t="s">
        <v>130</v>
      </c>
      <c r="B22" s="265"/>
      <c r="C22" s="266" t="s">
        <v>131</v>
      </c>
      <c r="D22" s="267"/>
      <c r="E22" s="266" t="s">
        <v>132</v>
      </c>
      <c r="F22" s="268"/>
      <c r="G22"/>
      <c r="H22"/>
      <c r="I22"/>
      <c r="J22"/>
      <c r="K22"/>
      <c r="L22"/>
    </row>
    <row r="23" spans="1:12" s="29" customFormat="1" ht="30" customHeight="1" x14ac:dyDescent="0.3">
      <c r="A23" s="325"/>
      <c r="B23" s="326"/>
      <c r="C23" s="351"/>
      <c r="D23" s="326"/>
      <c r="E23" s="334"/>
      <c r="F23" s="354"/>
      <c r="G23"/>
      <c r="H23"/>
      <c r="I23"/>
      <c r="J23"/>
      <c r="K23"/>
      <c r="L23"/>
    </row>
    <row r="24" spans="1:12" s="29" customFormat="1" ht="30" customHeight="1" x14ac:dyDescent="0.3">
      <c r="A24" s="325"/>
      <c r="B24" s="326"/>
      <c r="C24" s="351"/>
      <c r="D24" s="326"/>
      <c r="E24" s="352"/>
      <c r="F24" s="353"/>
      <c r="G24"/>
      <c r="H24"/>
      <c r="I24"/>
      <c r="J24"/>
      <c r="K24"/>
      <c r="L24"/>
    </row>
    <row r="25" spans="1:12" s="29" customFormat="1" ht="30" customHeight="1" x14ac:dyDescent="0.3">
      <c r="A25" s="325"/>
      <c r="B25" s="326"/>
      <c r="C25" s="351"/>
      <c r="D25" s="326"/>
      <c r="E25" s="352"/>
      <c r="F25" s="353"/>
      <c r="G25"/>
      <c r="H25"/>
      <c r="I25"/>
      <c r="J25"/>
      <c r="K25"/>
      <c r="L25"/>
    </row>
    <row r="26" spans="1:12" s="29" customFormat="1" ht="30" customHeight="1" x14ac:dyDescent="0.3">
      <c r="A26" s="325"/>
      <c r="B26" s="326"/>
      <c r="C26" s="351"/>
      <c r="D26" s="326"/>
      <c r="E26" s="352"/>
      <c r="F26" s="353"/>
      <c r="G26"/>
      <c r="H26"/>
      <c r="I26"/>
      <c r="J26"/>
      <c r="K26"/>
      <c r="L26"/>
    </row>
    <row r="27" spans="1:12" s="29" customFormat="1" ht="30" customHeight="1" x14ac:dyDescent="0.3">
      <c r="A27" s="325"/>
      <c r="B27" s="326"/>
      <c r="C27" s="351"/>
      <c r="D27" s="326"/>
      <c r="E27" s="352"/>
      <c r="F27" s="353"/>
      <c r="G27"/>
      <c r="H27"/>
      <c r="I27"/>
      <c r="J27"/>
      <c r="K27"/>
      <c r="L27"/>
    </row>
    <row r="28" spans="1:12" s="29" customFormat="1" ht="30" customHeight="1" x14ac:dyDescent="0.3">
      <c r="A28" s="325"/>
      <c r="B28" s="326"/>
      <c r="C28" s="351"/>
      <c r="D28" s="326"/>
      <c r="E28" s="352"/>
      <c r="F28" s="353"/>
      <c r="G28"/>
      <c r="H28"/>
      <c r="I28"/>
      <c r="J28"/>
      <c r="K28"/>
      <c r="L28"/>
    </row>
    <row r="29" spans="1:12" s="29" customFormat="1" ht="30" customHeight="1" x14ac:dyDescent="0.3">
      <c r="A29" s="325"/>
      <c r="B29" s="326"/>
      <c r="C29" s="351"/>
      <c r="D29" s="326"/>
      <c r="E29" s="352"/>
      <c r="F29" s="353"/>
      <c r="G29"/>
      <c r="H29"/>
      <c r="I29"/>
      <c r="J29"/>
      <c r="K29"/>
      <c r="L29"/>
    </row>
    <row r="30" spans="1:12" s="29" customFormat="1" ht="30" customHeight="1" thickBot="1" x14ac:dyDescent="0.35">
      <c r="A30" s="325"/>
      <c r="B30" s="326"/>
      <c r="C30" s="351"/>
      <c r="D30" s="326"/>
      <c r="E30" s="352"/>
      <c r="F30" s="353"/>
      <c r="G30"/>
      <c r="H30"/>
      <c r="I30"/>
      <c r="J30"/>
      <c r="K30"/>
      <c r="L30"/>
    </row>
    <row r="31" spans="1:12" s="29" customFormat="1" ht="30" customHeight="1" thickTop="1" x14ac:dyDescent="0.3">
      <c r="A31" s="343" t="s">
        <v>128</v>
      </c>
      <c r="B31" s="365"/>
      <c r="C31" s="365"/>
      <c r="D31" s="344"/>
      <c r="E31" s="362">
        <f>SUM($E$23:$E$30)</f>
        <v>0</v>
      </c>
      <c r="F31" s="363"/>
      <c r="G31"/>
      <c r="H31"/>
      <c r="I31"/>
      <c r="J31"/>
      <c r="K31"/>
      <c r="L31"/>
    </row>
    <row r="32" spans="1:12" s="29" customFormat="1" ht="13.5" customHeight="1" x14ac:dyDescent="0.3">
      <c r="A32" s="90"/>
      <c r="B32" s="90"/>
      <c r="C32" s="90"/>
      <c r="D32" s="90"/>
      <c r="E32" s="90"/>
      <c r="F32" s="91"/>
      <c r="G32"/>
      <c r="H32"/>
      <c r="I32"/>
      <c r="J32"/>
      <c r="K32"/>
      <c r="L32"/>
    </row>
    <row r="33" spans="1:12" s="93" customFormat="1" ht="43.5" customHeight="1" x14ac:dyDescent="0.4">
      <c r="A33" s="331" t="s">
        <v>133</v>
      </c>
      <c r="B33" s="332"/>
      <c r="C33" s="332"/>
      <c r="D33" s="364"/>
      <c r="E33" s="269"/>
      <c r="F33" s="270"/>
    </row>
    <row r="34" spans="1:12" ht="43.5" customHeight="1" x14ac:dyDescent="0.25">
      <c r="A34" s="271" t="s">
        <v>134</v>
      </c>
      <c r="B34" s="272"/>
      <c r="C34" s="273" t="s">
        <v>135</v>
      </c>
      <c r="D34" s="274"/>
      <c r="E34" s="90"/>
      <c r="F34" s="275"/>
    </row>
    <row r="35" spans="1:12" ht="30" customHeight="1" x14ac:dyDescent="0.25">
      <c r="A35" s="359" t="s">
        <v>136</v>
      </c>
      <c r="B35" s="360"/>
      <c r="C35" s="351"/>
      <c r="D35" s="361"/>
      <c r="E35" s="90"/>
      <c r="F35" s="275"/>
    </row>
    <row r="36" spans="1:12" ht="30" customHeight="1" x14ac:dyDescent="0.25">
      <c r="A36" s="359" t="s">
        <v>137</v>
      </c>
      <c r="B36" s="360"/>
      <c r="C36" s="351"/>
      <c r="D36" s="361"/>
      <c r="E36" s="90"/>
      <c r="F36" s="275"/>
    </row>
    <row r="37" spans="1:12" ht="30" customHeight="1" x14ac:dyDescent="0.25">
      <c r="A37" s="359" t="s">
        <v>138</v>
      </c>
      <c r="B37" s="360"/>
      <c r="C37" s="351"/>
      <c r="D37" s="361"/>
      <c r="E37" s="90"/>
      <c r="F37" s="275"/>
    </row>
    <row r="38" spans="1:12" ht="30" customHeight="1" x14ac:dyDescent="0.25">
      <c r="A38" s="359" t="s">
        <v>139</v>
      </c>
      <c r="B38" s="360"/>
      <c r="C38" s="351"/>
      <c r="D38" s="361"/>
      <c r="E38" s="90"/>
      <c r="F38" s="275"/>
    </row>
    <row r="39" spans="1:12" ht="30" customHeight="1" x14ac:dyDescent="0.25">
      <c r="A39" s="359" t="s">
        <v>140</v>
      </c>
      <c r="B39" s="360"/>
      <c r="C39" s="351"/>
      <c r="D39" s="361"/>
      <c r="E39" s="90"/>
      <c r="F39" s="275"/>
    </row>
    <row r="40" spans="1:12" ht="30" customHeight="1" x14ac:dyDescent="0.25">
      <c r="A40" s="355" t="s">
        <v>141</v>
      </c>
      <c r="B40" s="356"/>
      <c r="C40" s="357"/>
      <c r="D40" s="358"/>
      <c r="E40" s="276"/>
      <c r="F40" s="277"/>
    </row>
    <row r="41" spans="1:12" s="29" customFormat="1" ht="13.5" customHeight="1" x14ac:dyDescent="0.3">
      <c r="A41" s="94"/>
      <c r="B41" s="94"/>
      <c r="C41" s="94"/>
      <c r="D41" s="94"/>
      <c r="E41" s="94"/>
      <c r="F41" s="94"/>
      <c r="G41"/>
      <c r="H41"/>
      <c r="I41"/>
      <c r="J41"/>
      <c r="K41"/>
      <c r="L41"/>
    </row>
    <row r="42" spans="1:12" s="29" customFormat="1" ht="18" customHeight="1" x14ac:dyDescent="0.3">
      <c r="A42" s="95"/>
      <c r="B42" s="95"/>
      <c r="C42" s="95"/>
      <c r="D42" s="95"/>
      <c r="E42" s="95"/>
      <c r="F42" s="95"/>
      <c r="G42"/>
      <c r="H42"/>
      <c r="I42"/>
      <c r="J42"/>
      <c r="K42"/>
      <c r="L42"/>
    </row>
    <row r="43" spans="1:12" s="29" customFormat="1" ht="7.5" customHeight="1" x14ac:dyDescent="0.3">
      <c r="A43" s="96"/>
      <c r="B43" s="96"/>
      <c r="C43" s="96"/>
      <c r="D43" s="96"/>
      <c r="E43" s="96"/>
      <c r="F43" s="96"/>
      <c r="G43"/>
      <c r="H43"/>
      <c r="I43"/>
      <c r="J43"/>
      <c r="K43"/>
      <c r="L43"/>
    </row>
  </sheetData>
  <sheetProtection algorithmName="SHA-512" hashValue="ON6D27q4AJyDCQgr7VII+nY+WFS4x9qvtEjY3xqI1+vW4sj3kxqG4KwTydhy4bmCNcpShh1jkgfaIAtz8v3mng==" saltValue="hgNVu3eywAtm79uK0oZ3xw==" spinCount="100000" sheet="1" objects="1" scenarios="1"/>
  <mergeCells count="71">
    <mergeCell ref="A36:B36"/>
    <mergeCell ref="C36:D36"/>
    <mergeCell ref="A33:D33"/>
    <mergeCell ref="A29:B29"/>
    <mergeCell ref="C29:D29"/>
    <mergeCell ref="A31:D31"/>
    <mergeCell ref="A35:B35"/>
    <mergeCell ref="C35:D35"/>
    <mergeCell ref="C27:D27"/>
    <mergeCell ref="E27:F27"/>
    <mergeCell ref="A26:B26"/>
    <mergeCell ref="E29:F29"/>
    <mergeCell ref="A30:B30"/>
    <mergeCell ref="C30:D30"/>
    <mergeCell ref="E30:F30"/>
    <mergeCell ref="A28:B28"/>
    <mergeCell ref="C28:D28"/>
    <mergeCell ref="E28:F28"/>
    <mergeCell ref="A21:F21"/>
    <mergeCell ref="A23:B23"/>
    <mergeCell ref="C23:D23"/>
    <mergeCell ref="E23:F23"/>
    <mergeCell ref="A40:B40"/>
    <mergeCell ref="C40:D40"/>
    <mergeCell ref="A37:B37"/>
    <mergeCell ref="C37:D37"/>
    <mergeCell ref="A38:B38"/>
    <mergeCell ref="C38:D38"/>
    <mergeCell ref="A39:B39"/>
    <mergeCell ref="C39:D39"/>
    <mergeCell ref="E31:F31"/>
    <mergeCell ref="C26:D26"/>
    <mergeCell ref="E26:F26"/>
    <mergeCell ref="A27:B27"/>
    <mergeCell ref="A24:B24"/>
    <mergeCell ref="C24:D24"/>
    <mergeCell ref="E24:F24"/>
    <mergeCell ref="A25:B25"/>
    <mergeCell ref="C25:D25"/>
    <mergeCell ref="E25:F25"/>
    <mergeCell ref="C17:D17"/>
    <mergeCell ref="C18:D18"/>
    <mergeCell ref="C19:D19"/>
    <mergeCell ref="E12:F12"/>
    <mergeCell ref="E13:F13"/>
    <mergeCell ref="E14:F14"/>
    <mergeCell ref="E15:F15"/>
    <mergeCell ref="E16:F16"/>
    <mergeCell ref="E17:F17"/>
    <mergeCell ref="E18:F18"/>
    <mergeCell ref="C12:D12"/>
    <mergeCell ref="C13:D13"/>
    <mergeCell ref="C14:D14"/>
    <mergeCell ref="C15:D15"/>
    <mergeCell ref="C16:D16"/>
    <mergeCell ref="E19:F19"/>
    <mergeCell ref="A15:B15"/>
    <mergeCell ref="A16:B16"/>
    <mergeCell ref="A17:B17"/>
    <mergeCell ref="A18:B18"/>
    <mergeCell ref="A19:B19"/>
    <mergeCell ref="A12:B12"/>
    <mergeCell ref="A13:B13"/>
    <mergeCell ref="A14:B14"/>
    <mergeCell ref="A3:F3"/>
    <mergeCell ref="A4:F4"/>
    <mergeCell ref="A8:F8"/>
    <mergeCell ref="A11:B11"/>
    <mergeCell ref="C11:D11"/>
    <mergeCell ref="E11:F11"/>
    <mergeCell ref="D6:F6"/>
  </mergeCells>
  <conditionalFormatting sqref="A11:B18">
    <cfRule type="containsBlanks" dxfId="37" priority="10">
      <formula>LEN(TRIM(A11))=0</formula>
    </cfRule>
  </conditionalFormatting>
  <conditionalFormatting sqref="A23:F30">
    <cfRule type="containsBlanks" dxfId="36" priority="4">
      <formula>LEN(TRIM(A23))=0</formula>
    </cfRule>
  </conditionalFormatting>
  <conditionalFormatting sqref="C11:D17">
    <cfRule type="containsBlanks" dxfId="35" priority="1">
      <formula>LEN(TRIM(C11))=0</formula>
    </cfRule>
  </conditionalFormatting>
  <conditionalFormatting sqref="C35:D35 C36 C37:D40">
    <cfRule type="containsBlanks" dxfId="34" priority="2">
      <formula>LEN(TRIM(C35))=0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3973-EF09-4AF9-91C3-18632FD5153C}">
  <sheetPr>
    <tabColor rgb="FF0070C0"/>
    <pageSetUpPr autoPageBreaks="0"/>
  </sheetPr>
  <dimension ref="A1:L41"/>
  <sheetViews>
    <sheetView showGridLines="0" zoomScale="70" zoomScaleNormal="70" workbookViewId="0">
      <selection activeCell="K5" sqref="K5"/>
    </sheetView>
  </sheetViews>
  <sheetFormatPr defaultColWidth="9.109375" defaultRowHeight="23.4" x14ac:dyDescent="0.45"/>
  <cols>
    <col min="1" max="10" width="25.6640625" style="29" customWidth="1"/>
    <col min="11" max="11" width="15.6640625" style="29" customWidth="1"/>
    <col min="12" max="12" width="15.6640625" style="109" customWidth="1"/>
    <col min="13" max="19" width="15.6640625" style="29" customWidth="1"/>
    <col min="20" max="16384" width="9.109375" style="29"/>
  </cols>
  <sheetData>
    <row r="1" spans="1:12" ht="15.75" customHeight="1" x14ac:dyDescent="0.45">
      <c r="A1" s="106"/>
      <c r="B1" s="107"/>
      <c r="C1" s="107"/>
      <c r="D1" s="107"/>
      <c r="E1" s="107"/>
      <c r="F1" s="107"/>
      <c r="G1" s="107"/>
      <c r="H1" s="107"/>
      <c r="I1" s="107"/>
      <c r="J1" s="108"/>
    </row>
    <row r="2" spans="1:12" ht="164.25" customHeight="1" x14ac:dyDescent="1.4">
      <c r="A2" s="110"/>
      <c r="B2" s="111"/>
      <c r="C2" s="111"/>
      <c r="D2" s="111"/>
      <c r="E2" s="111"/>
      <c r="F2" s="111"/>
      <c r="G2" s="111"/>
      <c r="H2" s="111"/>
      <c r="I2" s="111"/>
      <c r="J2" s="112"/>
    </row>
    <row r="3" spans="1:12" s="89" customFormat="1" ht="45" customHeight="1" x14ac:dyDescent="0.3">
      <c r="A3" s="301" t="s">
        <v>28</v>
      </c>
      <c r="B3" s="327"/>
      <c r="C3" s="327"/>
      <c r="D3" s="327"/>
      <c r="E3" s="327"/>
      <c r="F3" s="327"/>
      <c r="G3" s="327"/>
      <c r="H3" s="327"/>
      <c r="I3" s="327"/>
      <c r="J3" s="302"/>
      <c r="L3" s="113"/>
    </row>
    <row r="4" spans="1:12" s="89" customFormat="1" ht="27" customHeight="1" x14ac:dyDescent="0.3">
      <c r="A4" s="375" t="s">
        <v>142</v>
      </c>
      <c r="B4" s="376"/>
      <c r="C4" s="376"/>
      <c r="D4" s="376"/>
      <c r="E4" s="376"/>
      <c r="F4" s="376"/>
      <c r="G4" s="376"/>
      <c r="H4" s="376"/>
      <c r="I4" s="376"/>
      <c r="J4" s="377"/>
      <c r="L4" s="113"/>
    </row>
    <row r="5" spans="1:12" ht="13.5" customHeight="1" x14ac:dyDescent="0.45">
      <c r="A5" s="114"/>
      <c r="B5" s="115"/>
      <c r="C5" s="116"/>
      <c r="D5" s="115"/>
      <c r="E5" s="116"/>
      <c r="F5" s="115"/>
      <c r="G5" s="115"/>
      <c r="H5" s="115"/>
      <c r="I5" s="116"/>
      <c r="J5" s="115"/>
    </row>
    <row r="6" spans="1:12" s="89" customFormat="1" ht="39.9" customHeight="1" x14ac:dyDescent="0.5">
      <c r="A6" s="283" t="s">
        <v>143</v>
      </c>
      <c r="B6" s="118"/>
      <c r="C6" s="118"/>
      <c r="D6" s="118"/>
      <c r="E6" s="118"/>
      <c r="F6" s="118"/>
      <c r="G6" s="118"/>
      <c r="H6" s="118"/>
      <c r="I6" s="118"/>
      <c r="J6" s="119"/>
      <c r="L6" s="120"/>
    </row>
    <row r="7" spans="1:12" ht="13.5" customHeight="1" x14ac:dyDescent="0.45">
      <c r="A7" s="121"/>
      <c r="B7" s="122"/>
      <c r="C7" s="123"/>
      <c r="D7" s="122"/>
      <c r="E7" s="123"/>
      <c r="F7" s="122"/>
      <c r="G7" s="122"/>
      <c r="H7" s="122"/>
      <c r="I7" s="123"/>
      <c r="J7" s="124"/>
    </row>
    <row r="8" spans="1:12" ht="97.5" customHeight="1" x14ac:dyDescent="0.45">
      <c r="A8" s="125" t="s">
        <v>63</v>
      </c>
      <c r="B8" s="46">
        <f>_xlfn.LET(
_xlpm.baseline,IFERROR(--'User Inputs'!$B$23,0),
_xlpm.ecmOne,IF(
'User Inputs'!$F$10&gt;=1,
IFERROR(
AND(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
FALSE
)*IFERROR(--'User Inputs'!$B$41,0),
0
),
_xlpm.ecmTwo,IF(
'User Inputs'!$F$10&gt;=2,
IFERROR(
AND(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
FALSE
)*IFERROR(--'User Inputs'!$B$43,0),
0
),
_xlpm.ecmThree,IF(
'User Inputs'!$F$10&gt;=3,
IFERROR(
AND(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
FALSE
)*IFERROR(--'User Inputs'!$B$45,0),
0
),
_xlpm.ecmFour,IF(
'User Inputs'!$F$10&gt;=4,
IFERROR(
AND(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
FALSE
)*IFERROR(--'User Inputs'!$B$47,0),
0
),
_xlpm.solarProduction,
IF(
'User Inputs'!$B$10='Dev. Notes'!$B$17,
0,
IF(
OR(
'User Inputs'!$H$10='Dev. Notes'!$B$5,
'User Inputs'!$H$10="Both"
),
IFERROR(--'User Inputs'!$F$58,0),
0
)
+
IF(
OR(
'User Inputs'!$H$10='Dev. Notes'!$B$6,
'User Inputs'!$H$10="Both"
),
IFERROR(--'User Inputs'!$F$60,0),
0
)
),
_xlpm.baseline-_xlpm.ecmOne-_xlpm.ecmTwo-_xlpm.ecmThree-_xlpm.ecmFour-_xlpm.solarProduction
)</f>
        <v>0</v>
      </c>
      <c r="C8" s="126" t="s">
        <v>64</v>
      </c>
      <c r="D8" s="46">
        <f>'User Inputs'!$D$23-
SUM(
IF(
'User Inputs'!$F$10&gt;=1,
IFERROR(
AND(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)*IFERROR(--'User Inputs'!$D$41,0),
0
),
0
),
IF(
'User Inputs'!$F$10&gt;=2,
IFERROR(
AND(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)*IFERROR(--'User Inputs'!$D$43,0),
0
),
0
),
IF(
'User Inputs'!$F$10&gt;=3,
IFERROR(
AND(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)*IFERROR(--'User Inputs'!$D$45,0),
0
),
0
),
IF(
'User Inputs'!$F$10&gt;=4,
IFERROR(
AND(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)*IFERROR(--'User Inputs'!$D$47,0),
0
),
0
)
)</f>
        <v>0</v>
      </c>
      <c r="E8" s="126" t="s">
        <v>65</v>
      </c>
      <c r="F8" s="46">
        <f>'User Inputs'!$F$23-
SUM(
IF(
'User Inputs'!$F$10&gt;=1,
IFERROR(
AND(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)*IFERROR(--'User Inputs'!$F$41,0),
0
),
0
),
IF(
'User Inputs'!$F$10&gt;=2,
IFERROR(
AND(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)*IFERROR(--'User Inputs'!$F$43,0),
0
),
0
),
IF(
'User Inputs'!$F$10&gt;=3,
IFERROR(
AND(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)*IFERROR(--'User Inputs'!$F$45,0),
0
),
0
),
IF(
'User Inputs'!$F$10&gt;=4,
IFERROR(
AND(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)*IFERROR(--'User Inputs'!$F$47,0),
0
),
0
)
)</f>
        <v>0</v>
      </c>
      <c r="G8" s="126" t="s">
        <v>66</v>
      </c>
      <c r="H8" s="46">
        <f>'User Inputs'!$H$23-
SUM(
IF(
'User Inputs'!$F$10&gt;=1,
IFERROR(
AND(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)*IFERROR(--'User Inputs'!$H$41,0),
0
),
0
),
IF(
'User Inputs'!$F$10&gt;=2,
IFERROR(
AND(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)*IFERROR(--'User Inputs'!$H$43,0),
0
),
0
),
IF(
'User Inputs'!$F$10&gt;=3,
IFERROR(
AND(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)*IFERROR(--'User Inputs'!$H$45,0),
0
),
0
),
IF(
'User Inputs'!$F$10&gt;=4,
IFERROR(
AND(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)*IFERROR(--'User Inputs'!$H$47,0),
0
),
0
)
)</f>
        <v>0</v>
      </c>
      <c r="I8" s="126" t="s">
        <v>67</v>
      </c>
      <c r="J8" s="47">
        <f>'User Inputs'!$J$23-
SUM(
IF(
'User Inputs'!$F$10&gt;=1,
IFERROR(
AND(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)*IFERROR(--'User Inputs'!$J$41,0),
0
),
0
),
IF(
'User Inputs'!$F$10&gt;=2,
IFERROR(
AND(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)*IFERROR(--'User Inputs'!$J$43,0),
0
),
0
),
IF(
'User Inputs'!$F$10&gt;=3,
IFERROR(
AND(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)*IFERROR(--'User Inputs'!$J$45,0),
0
),
0
),
IF(
'User Inputs'!$F$10&gt;=4,
IFERROR(
AND(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)*IFERROR(--'User Inputs'!$J$47,0),
0
),
0
)
)</f>
        <v>0</v>
      </c>
    </row>
    <row r="9" spans="1:12" ht="13.5" customHeight="1" x14ac:dyDescent="0.45">
      <c r="A9" s="114"/>
      <c r="B9" s="115"/>
      <c r="C9" s="116"/>
      <c r="D9" s="115"/>
      <c r="E9" s="116"/>
      <c r="F9" s="115"/>
      <c r="G9" s="115"/>
      <c r="H9" s="115"/>
      <c r="I9" s="116"/>
      <c r="J9" s="115"/>
    </row>
    <row r="10" spans="1:12" ht="39.9" customHeight="1" x14ac:dyDescent="0.5">
      <c r="A10" s="117" t="s">
        <v>96</v>
      </c>
      <c r="B10" s="118"/>
      <c r="C10" s="118"/>
      <c r="D10" s="118"/>
      <c r="E10" s="118"/>
      <c r="F10" s="118"/>
      <c r="G10" s="118"/>
      <c r="H10" s="118"/>
      <c r="I10" s="118"/>
      <c r="J10" s="127"/>
      <c r="L10" s="128"/>
    </row>
    <row r="11" spans="1:12" ht="13.5" customHeight="1" x14ac:dyDescent="0.45">
      <c r="A11" s="114"/>
      <c r="B11" s="115"/>
      <c r="C11" s="116"/>
      <c r="D11" s="115"/>
      <c r="E11" s="116"/>
      <c r="F11" s="115"/>
      <c r="G11" s="115"/>
      <c r="H11" s="115"/>
      <c r="I11" s="116"/>
      <c r="J11" s="129"/>
    </row>
    <row r="12" spans="1:12" ht="69.900000000000006" customHeight="1" x14ac:dyDescent="0.45">
      <c r="A12" s="130"/>
      <c r="B12" s="131"/>
      <c r="C12" s="131"/>
      <c r="D12" s="132"/>
      <c r="E12" s="131"/>
      <c r="F12" s="132"/>
      <c r="G12" s="132"/>
      <c r="H12" s="132"/>
      <c r="I12" s="133" t="s">
        <v>144</v>
      </c>
      <c r="J12" s="48">
        <f>SUM(
    IF(
        'User Inputs'!$F$10&gt;=1,
        IFERROR(
            OR(
                INDEX(
                    'Embedded Values'!$F$22:$F$34,
                    MATCH('User Inputs'!$B$34,'Embedded Values'!$B$22:$B$34,0)
                )="All",
                ISNUMBER(
                    SEARCH(
                        ";"&amp;'User Inputs'!$B$10&amp;";",
                        ";"&amp;
                        SUBSTITUTE(
                            INDEX(
                                'Embedded Values'!$F$22:$F$34,
                                MATCH('User Inputs'!$B$34,'Embedded Values'!$B$22:$B$34,0)
                            ),
                            "; ",
                            ";"
                        )&amp;
                        ";"
                    )
                )
            )*
            OR(
                INDEX(
                    'Embedded Values'!$E$22:$E$34,
                    MATCH('User Inputs'!$B$34,'Embedded Values'!$B$22:$B$34,0)
                )&lt;&gt;"Tandem",
                'Dev. Notes'!$C$93=TRUE
            )*
            'User Inputs'!$B$52,
            0
        ),
        0
    ),
    IF(
        'User Inputs'!$F$10&gt;=2,
        IFERROR(
            OR(
                INDEX(
                    'Embedded Values'!$F$22:$F$34,
                    MATCH('User Inputs'!$D$34,'Embedded Values'!$B$22:$B$34,0)
                )="All",
                ISNUMBER(
                    SEARCH(
                        ";"&amp;'User Inputs'!$B$10&amp;";",
                        ";"&amp;
                        SUBSTITUTE(
                            INDEX(
                                'Embedded Values'!$F$22:$F$34,
                                MATCH('User Inputs'!$D$34,'Embedded Values'!$B$22:$B$34,0)
                            ),
                            "; ",
                            ";"
                        )&amp;
                        ";"
                    )
                )
            )*
            OR(
                INDEX(
                    'Embedded Values'!$E$22:$E$34,
                    MATCH('User Inputs'!$D$34,'Embedded Values'!$B$22:$B$34,0)
                )&lt;&gt;"Tandem",
                'Dev. Notes'!$C$93=TRUE
            )*
            'User Inputs'!$D$52,
            0
        ),
        0
    ),
    IF(
        'User Inputs'!$F$10&gt;=3,
        IFERROR(
            OR(
                INDEX(
                    'Embedded Values'!$F$22:$F$34,
                    MATCH('User Inputs'!$F$34,'Embedded Values'!$B$22:$B$34,0)
                )="All",
                ISNUMBER(
                    SEARCH(
                        ";"&amp;'User Inputs'!$B$10&amp;";",
                        ";"&amp;
                        SUBSTITUTE(
                            INDEX(
                                'Embedded Values'!$F$22:$F$34,
                                MATCH('User Inputs'!$F$34,'Embedded Values'!$B$22:$B$34,0)
                            ),
                            "; ",
                            ";"
                        )&amp;
                        ";"
                    )
                )
            )*
            OR(
                INDEX(
                    'Embedded Values'!$E$22:$E$34,
                    MATCH('User Inputs'!$F$34,'Embedded Values'!$B$22:$B$34,0)
                )&lt;&gt;"Tandem",
                'Dev. Notes'!$C$93=TRUE
            )*
            'User Inputs'!$F$52,
            0
        ),
        0
    ),
    IF(
        'User Inputs'!$F$10&gt;=4,
        IFERROR(
            OR(
                INDEX(
                    'Embedded Values'!$F$22:$F$34,
                    MATCH('User Inputs'!$H$34,'Embedded Values'!$B$22:$B$34,0)
                )="All",
                ISNUMBER(
                    SEARCH(
                        ";"&amp;'User Inputs'!$B$10&amp;";",
                        ";"&amp;
                        SUBSTITUTE(
                            INDEX(
                                'Embedded Values'!$F$22:$F$34,
                                MATCH('User Inputs'!$H$34,'Embedded Values'!$B$22:$B$34,0)
                            ),
                            "; ",
                            ";"
                        )&amp;
                        ";"
                    )
                )
            )*
            OR(
                INDEX(
                    'Embedded Values'!$E$22:$E$34,
                    MATCH('User Inputs'!$H$34,'Embedded Values'!$B$22:$B$34,0)
                )&lt;&gt;"Tandem",
                'Dev. Notes'!$C$93=TRUE
            )*
            'User Inputs'!$H$52,
            0
        ),
        0
    ),
    IF(
        AND(
            'User Inputs'!$B$10&lt;&gt;'Dev. Notes'!$B$17,
            OR(
                'User Inputs'!$H$10='Dev. Notes'!$B$5,
                'User Inputs'!$H$10="Both"
            )
        ),
        IFERROR(--'User Inputs'!$H$58,0),
        0
    ),
    IF(
        AND(
            'User Inputs'!$B$10&lt;&gt;'Dev. Notes'!$B$17,
            OR(
                'User Inputs'!$H$10='Dev. Notes'!$B$6,
                'User Inputs'!$H$10="Both"
            )
        ),
        IFERROR(--'User Inputs'!$H$60,0),
        0
    )
)</f>
        <v>0</v>
      </c>
    </row>
    <row r="13" spans="1:12" ht="13.5" customHeight="1" x14ac:dyDescent="0.45">
      <c r="A13" s="130"/>
      <c r="B13" s="132"/>
      <c r="C13" s="131"/>
      <c r="D13" s="132"/>
      <c r="E13" s="131"/>
      <c r="F13" s="132"/>
      <c r="G13" s="132"/>
      <c r="H13" s="132"/>
      <c r="I13" s="131"/>
      <c r="J13" s="132"/>
    </row>
    <row r="14" spans="1:12" ht="39.9" customHeight="1" x14ac:dyDescent="0.5">
      <c r="A14" s="117" t="s">
        <v>145</v>
      </c>
      <c r="B14" s="118"/>
      <c r="C14" s="118"/>
      <c r="D14" s="118"/>
      <c r="E14" s="118"/>
      <c r="F14" s="118"/>
      <c r="G14" s="118"/>
      <c r="H14" s="118"/>
      <c r="I14" s="118"/>
      <c r="J14" s="127"/>
    </row>
    <row r="15" spans="1:12" ht="13.5" customHeight="1" x14ac:dyDescent="0.45">
      <c r="A15" s="134"/>
      <c r="B15" s="135"/>
      <c r="C15" s="136"/>
      <c r="D15" s="135"/>
      <c r="E15" s="136"/>
      <c r="F15" s="135"/>
      <c r="G15" s="135"/>
      <c r="H15" s="135"/>
      <c r="I15" s="136"/>
      <c r="J15" s="137"/>
    </row>
    <row r="16" spans="1:12" ht="37.5" customHeight="1" x14ac:dyDescent="0.45">
      <c r="A16" s="138" t="s">
        <v>146</v>
      </c>
      <c r="B16" s="49">
        <f>IFERROR('User Inputs'!$B$23-'Calculated Metrics'!$B$8,0)</f>
        <v>0</v>
      </c>
      <c r="C16" s="139" t="s">
        <v>147</v>
      </c>
      <c r="D16" s="49">
        <f>IFERROR('User Inputs'!$D$23-'Calculated Metrics'!$D$8,0)</f>
        <v>0</v>
      </c>
      <c r="E16" s="139" t="s">
        <v>148</v>
      </c>
      <c r="F16" s="49">
        <f>IFERROR('User Inputs'!$F$23-'Calculated Metrics'!$F$8,0)</f>
        <v>0</v>
      </c>
      <c r="G16" s="139" t="s">
        <v>149</v>
      </c>
      <c r="H16" s="49">
        <f>IFERROR('User Inputs'!$H$23-'Calculated Metrics'!$H$8,0)</f>
        <v>0</v>
      </c>
      <c r="I16" s="139" t="s">
        <v>150</v>
      </c>
      <c r="J16" s="50">
        <f>IFERROR('User Inputs'!$J$23-'Calculated Metrics'!$J$8,0)</f>
        <v>0</v>
      </c>
    </row>
    <row r="17" spans="1:12" ht="13.5" customHeight="1" x14ac:dyDescent="0.45">
      <c r="A17" s="114"/>
      <c r="B17" s="51"/>
      <c r="C17" s="116"/>
      <c r="D17" s="51"/>
      <c r="E17" s="116"/>
      <c r="F17" s="51"/>
      <c r="G17" s="51"/>
      <c r="H17" s="51"/>
      <c r="I17" s="116"/>
      <c r="J17" s="52"/>
    </row>
    <row r="18" spans="1:12" ht="114" customHeight="1" x14ac:dyDescent="0.45">
      <c r="A18" s="140" t="str">
        <f>'User Inputs'!$A$72</f>
        <v>Current Energy Use Intensity [EUI] (kBTU/ft2)</v>
      </c>
      <c r="B18" s="53" t="str">
        <f>'User Inputs'!$B$72</f>
        <v>Enter floor area in cell D10</v>
      </c>
      <c r="C18" s="141" t="str">
        <f>'User Inputs'!$C$72</f>
        <v>Projected Energy Use Intensity [EUI] (kBTU/ft2)</v>
      </c>
      <c r="D18" s="53" t="str">
        <f>'User Inputs'!$D$72</f>
        <v>Enter floor area in cell D10</v>
      </c>
      <c r="E18" s="131"/>
      <c r="F18" s="54"/>
      <c r="G18" s="133" t="s">
        <v>115</v>
      </c>
      <c r="H18" s="55" t="str">
        <f>IFERROR(
    _xlfn.LET(
        _xlpm.ecmCount,'User Inputs'!$F$10,
        _xlpm.solarSelected,'User Inputs'!$H$10,
        _xlpm.building,'User Inputs'!$B$10,
        _xlpm.solarApplicable,
        AND(
            _xlpm.building&lt;&gt;'Dev. Notes'!$B$17,
            OR(
                _xlpm.solarSelected='Dev. Notes'!$B$5,
                _xlpm.solarSelected='Dev. Notes'!$B$6,
                _xlpm.solarSelected="Both"
            )
        ),
        _xlpm.elecSavings,
        IFERROR('User Inputs'!$B$23-'Calculated Metrics'!$B$8,0),
        _xlpm.gasSavings,
        IF(
            OR(_xlpm.ecmCount="",_xlpm.ecmCount=0),
            0,
            IFERROR('User Inputs'!$D$23-'Calculated Metrics'!$D$8,0)
        ),
        _xlpm.propaneSavings,
        IF(
            OR(_xlpm.ecmCount="",_xlpm.ecmCount=0),
            0,
            IFERROR('User Inputs'!$F$23-'Calculated Metrics'!$F$8,0)
        ),
        _xlpm.oilSavings,
        IF(
            OR(_xlpm.ecmCount="",_xlpm.ecmCount=0),
            0,
            IFERROR('User Inputs'!$H$23-'Calculated Metrics'!$H$8,0)
        ),
        _xlpm.coalSavings,
        IF(
            OR(_xlpm.ecmCount="",_xlpm.ecmCount=0),
            0,
            IFERROR('User Inputs'!$J$23-'Calculated Metrics'!$J$8,0)
        ),
        _xlpm.invalidRates,
        OR(
            AND(_xlpm.elecSavings&lt;&gt;0,OR(NOT(ISNUMBER('User Inputs'!$B$28)),'User Inputs'!$B$28&lt;0)),
            AND(_xlpm.gasSavings&lt;&gt;0,OR(NOT(ISNUMBER('User Inputs'!$D$28)),'User Inputs'!$D$28&lt;0)),
            AND(_xlpm.propaneSavings&lt;&gt;0,OR(NOT(ISNUMBER('User Inputs'!$F$28)),'User Inputs'!$F$28&lt;0)),
            AND(_xlpm.oilSavings&lt;&gt;0,OR(NOT(ISNUMBER('User Inputs'!$H$28)),'User Inputs'!$H$28&lt;0)),
            AND(_xlpm.coalSavings&lt;&gt;0,OR(NOT(ISNUMBER('User Inputs'!$J$28)),'User Inputs'!$J$28&lt;0))
        ),
        IF(
            AND(
                OR(_xlpm.ecmCount="",_xlpm.ecmCount=0),
                NOT(_xlpm.solarApplicable)
            ),
            "Add ECMs or Solar in cell F10 or H10",
            IF(
                _xlpm.invalidRates,
                "Check default rates in row 28",
                _xlpm.elecSavings*'User Inputs'!$B$28+
                _xlpm.gasSavings*'User Inputs'!$D$28+
                _xlpm.propaneSavings*'User Inputs'!$F$28+
                _xlpm.oilSavings*'User Inputs'!$H$28+
                _xlpm.coalSavings*'User Inputs'!$J$28
            )
        )
    ),
    "Check savings inputs in rows 41-47"
)</f>
        <v>Add ECMs or Solar in cell F10 or H10</v>
      </c>
      <c r="I18" s="142" t="s">
        <v>116</v>
      </c>
      <c r="J18" s="56" t="str">
        <f>IF(
    ISTEXT($H$18),
    $H$18,
    IF(
        $J$12&lt;0,
        "Project cost is negative. Check rows 52, 58 or 60",
        IF(
            $J$12=0,
            IF(
                'Dev. Notes'!$C$94,
                "N/A - Unsupported Tandem measure(s).",
                IF(
                    'Dev. Notes'!$C$100,
                    "N/A - This building type is ineligible for the selected measure.",
                    "Fill in Project Costs"
                )
            ),
            IF(
                $H$18&lt;=0,
                "N/A - Annual Cost Savings are zero or negative",
                $J$12/$H$18
            )
        )
    )
)</f>
        <v>Add ECMs or Solar in cell F10 or H10</v>
      </c>
    </row>
    <row r="19" spans="1:12" ht="13.5" customHeight="1" x14ac:dyDescent="0.45">
      <c r="A19" s="130"/>
      <c r="B19" s="132"/>
      <c r="C19" s="131"/>
      <c r="D19" s="132"/>
      <c r="E19" s="131"/>
      <c r="F19" s="132"/>
      <c r="G19" s="132"/>
      <c r="H19" s="132"/>
      <c r="I19" s="131"/>
      <c r="J19" s="132"/>
    </row>
    <row r="20" spans="1:12" ht="39.9" customHeight="1" x14ac:dyDescent="0.5">
      <c r="A20" s="117" t="s">
        <v>151</v>
      </c>
      <c r="B20" s="143"/>
      <c r="C20" s="143"/>
      <c r="D20" s="143"/>
      <c r="E20" s="143"/>
      <c r="F20" s="143"/>
      <c r="G20" s="143"/>
      <c r="H20" s="143"/>
      <c r="I20" s="143"/>
      <c r="J20" s="144"/>
    </row>
    <row r="21" spans="1:12" ht="13.5" customHeight="1" x14ac:dyDescent="0.45">
      <c r="A21" s="121"/>
      <c r="B21" s="122"/>
      <c r="C21" s="123"/>
      <c r="D21" s="122"/>
      <c r="E21" s="123"/>
      <c r="F21" s="122"/>
      <c r="G21" s="122"/>
      <c r="H21" s="122"/>
      <c r="I21" s="123"/>
      <c r="J21" s="124"/>
    </row>
    <row r="22" spans="1:12" ht="105" customHeight="1" x14ac:dyDescent="0.45">
      <c r="A22" s="138" t="s">
        <v>152</v>
      </c>
      <c r="B22" s="145">
        <f>IF(
IFERROR(VALUE('User Inputs'!$F$10),0)=0,
0,
SUM(
IF(
'User Inputs'!$F$10&gt;=1,
IFERROR(
(
INDEX('Embedded Values'!$D$22:$D$34,MATCH('User Inputs'!$B$34,'Embedded Values'!$B$22:$B$34,0))="Electrification"
)*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IFERROR(--'User Inputs'!$B$52,0),
0
),
0
),
IF(
'User Inputs'!$F$10&gt;=2,
IFERROR(
(
INDEX('Embedded Values'!$D$22:$D$34,MATCH('User Inputs'!$D$34,'Embedded Values'!$B$22:$B$34,0))="Electrification"
)*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IFERROR(--'User Inputs'!$D$52,0),
0
),
0
),
IF(
'User Inputs'!$F$10&gt;=3,
IFERROR(
(
INDEX('Embedded Values'!$D$22:$D$34,MATCH('User Inputs'!$F$34,'Embedded Values'!$B$22:$B$34,0))="Electrification"
)*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IFERROR(--'User Inputs'!$F$52,0),
0
),
0
),
IF(
'User Inputs'!$F$10&gt;=4,
IFERROR(
(
INDEX('Embedded Values'!$D$22:$D$34,MATCH('User Inputs'!$H$34,'Embedded Values'!$B$22:$B$34,0))="Electrification"
)*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IFERROR(--'User Inputs'!$H$52,0),
0
),
0
)
)
)</f>
        <v>0</v>
      </c>
      <c r="C22" s="139" t="s">
        <v>153</v>
      </c>
      <c r="D22" s="145">
        <f>IF(
    IFERROR(VALUE('User Inputs'!$F$10),0)=0,
    0,
    SUM(
        IF(
            'User Inputs'!$F$10&gt;=1,
            IFERROR(
                (
                    INDEX(
                        'Embedded Values'!$D$22:$D$34,
                        MATCH('User Inputs'!$B$34,'Embedded Values'!$B$22:$B$34,0)
                    )="Energy Efficiency"
                )*
                OR(
                    INDEX(
                        'Embedded Values'!$F$22:$F$34,
                        MATCH('User Inputs'!$B$34,'Embedded Values'!$B$22:$B$34,0)
                    )="All",
                    ISNUMBER(
                        SEARCH(
                            ";"&amp;'User Inputs'!$B$10&amp;";",
                            ";"&amp;
                            SUBSTITUTE(
                                INDEX(
                                    'Embedded Values'!$F$22:$F$34,
                                    MATCH('User Inputs'!$B$34,'Embedded Values'!$B$22:$B$34,0)
                                ),
                                "; ",
                                ";"
                            )&amp;
                            ";"
                        )
                    )
                )*
                OR(
                    INDEX(
                        'Embedded Values'!$E$22:$E$34,
                        MATCH('User Inputs'!$B$34,'Embedded Values'!$B$22:$B$34,0)
                    )&lt;&gt;"Tandem",
                    'Dev. Notes'!$C$93=TRUE
                )*
                'User Inputs'!$B$52,
                0
            ),
            0
        ),
        IF(
            'User Inputs'!$F$10&gt;=2,
            IFERROR(
                (
                    INDEX(
                        'Embedded Values'!$D$22:$D$34,
                        MATCH('User Inputs'!$D$34,'Embedded Values'!$B$22:$B$34,0)
                    )="Energy Efficiency"
                )*
                OR(
                    INDEX(
                        'Embedded Values'!$F$22:$F$34,
                        MATCH('User Inputs'!$D$34,'Embedded Values'!$B$22:$B$34,0)
                    )="All",
                    ISNUMBER(
                        SEARCH(
                            ";"&amp;'User Inputs'!$B$10&amp;";",
                            ";"&amp;
                            SUBSTITUTE(
                                INDEX(
                                    'Embedded Values'!$F$22:$F$34,
                                    MATCH('User Inputs'!$D$34,'Embedded Values'!$B$22:$B$34,0)
                                ),
                                "; ",
                                ";"
                            )&amp;
                            ";"
                        )
                    )
                )*
                OR(
                    INDEX(
                        'Embedded Values'!$E$22:$E$34,
                        MATCH('User Inputs'!$D$34,'Embedded Values'!$B$22:$B$34,0)
                    )&lt;&gt;"Tandem",
                    'Dev. Notes'!$C$93=TRUE
                )*
                'User Inputs'!$D$52,
                0
            ),
            0
        ),
        IF(
            'User Inputs'!$F$10&gt;=3,
            IFERROR(
                (
                    INDEX(
                        'Embedded Values'!$D$22:$D$34,
                        MATCH('User Inputs'!$F$34,'Embedded Values'!$B$22:$B$34,0)
                    )="Energy Efficiency"
                )*
                OR(
                    INDEX(
                        'Embedded Values'!$F$22:$F$34,
                        MATCH('User Inputs'!$F$34,'Embedded Values'!$B$22:$B$34,0)
                    )="All",
                    ISNUMBER(
                        SEARCH(
                            ";"&amp;'User Inputs'!$B$10&amp;";",
                            ";"&amp;
                            SUBSTITUTE(
                                INDEX(
                                    'Embedded Values'!$F$22:$F$34,
                                    MATCH('User Inputs'!$F$34,'Embedded Values'!$B$22:$B$34,0)
                                ),
                                "; ",
                                ";"
                            )&amp;
                            ";"
                        )
                    )
                )*
                OR(
                    INDEX(
                        'Embedded Values'!$E$22:$E$34,
                        MATCH('User Inputs'!$F$34,'Embedded Values'!$B$22:$B$34,0)
                    )&lt;&gt;"Tandem",
                    'Dev. Notes'!$C$93=TRUE
                )*
                'User Inputs'!$F$52,
                0
            ),
            0
        ),
        IF(
            'User Inputs'!$F$10&gt;=4,
            IFERROR(
                (
                    INDEX(
                        'Embedded Values'!$D$22:$D$34,
                        MATCH('User Inputs'!$H$34,'Embedded Values'!$B$22:$B$34,0)
                    )="Energy Efficiency"
                )*
                OR(
                    INDEX(
                        'Embedded Values'!$F$22:$F$34,
                        MATCH('User Inputs'!$H$34,'Embedded Values'!$B$22:$B$34,0)
                    )="All",
                    ISNUMBER(
                        SEARCH(
                            ";"&amp;'User Inputs'!$B$10&amp;";",
                            ";"&amp;
                            SUBSTITUTE(
                                INDEX(
                                    'Embedded Values'!$F$22:$F$34,
                                    MATCH('User Inputs'!$H$34,'Embedded Values'!$B$22:$B$34,0)
                                ),
                                "; ",
                                ";"
                            )&amp;
                            ";"
                        )
                    )
                )*
                OR(
                    INDEX(
                        'Embedded Values'!$E$22:$E$34,
                        MATCH('User Inputs'!$H$34,'Embedded Values'!$B$22:$B$34,0)
                    )&lt;&gt;"Tandem",
                    'Dev. Notes'!$C$93=TRUE
                )*
                'User Inputs'!$H$52,
                0
            ),
            0
        )
    )
)</f>
        <v>0</v>
      </c>
      <c r="E22" s="139" t="s">
        <v>154</v>
      </c>
      <c r="F22" s="145" cm="1">
        <f t="array" ref="F22">IF(
    OR(
        'User Inputs'!$B$10='Dev. Notes'!$B$17,
        'User Inputs'!$H$10='Dev. Notes'!$B$4
    ),
    0,
    _xlfn.SWITCH(
        'User Inputs'!$H$10,
        'Dev. Notes'!$B$5,IFERROR(--'User Inputs'!$H$58,0),
        'Dev. Notes'!$B$6,IFERROR(--'User Inputs'!$H$60,0),
        'Dev. Notes'!$B$7,
            IFERROR(--'User Inputs'!$H$58,0)
            +IFERROR(--'User Inputs'!$H$60,0),
        0
    )
)</f>
        <v>0</v>
      </c>
      <c r="G22" s="366" t="str">
        <f>_xlfn.LET(
    _xlpm.reduction,IFERROR(--$B$38,0),
    _xlpm.rate,IFERROR(--$B$24,0),
    _xlpm.calculated,IFERROR(--$B$26,0),
    _xlpm.totalReduction,IFERROR(--$J$38,0),
    _xlpm.prefix,"¹ ",
    _xlpm.tandemNote,
    IF(
        'Dev. Notes'!$C$94,
        " One or more unsupported Tandem measures have been excluded from this calculation.",
        ""
    ),
    _xlpm.eligibilityNote,
    IF(
        'Dev. Notes'!$C$100,
        " One or more measures that are ineligible for the selected building type have been excluded from this calculation.",
        ""
    ),
    IF(
        _xlpm.reduction&lt;=0,
        IF(
            OR('Dev. Notes'!$C$94,'Dev. Notes'!$C$100),
            _xlpm.prefix&amp;
            "No eligible Electrification incentive remains after excluding ineligible measures.",
            ""
        ),
        IF(
            _xlpm.totalReduction&lt;200,
            _xlpm.prefix&amp;
            "The incentive is $0 because total projected lifetime emissions reductions are below the 200 MTCO₂e minimum."&amp;
            _xlpm.tandemNote&amp;
            _xlpm.eligibilityNote,
            IF(
                _xlpm.rate&lt;=0,
                "",
                _xlpm.prefix&amp;
                "The calculated Electrification incentive is $"&amp;
                TEXT(_xlpm.calculated,"#,##0")&amp;
                " based on "&amp;
                TEXT(_xlpm.reduction,"#,##0.0")&amp;
                " MTCO₂e of reductions at $"&amp;
                TEXT(_xlpm.rate,"#,##0")&amp;
                " per MTCO₂e."&amp;
                _xlpm.tandemNote&amp;
                _xlpm.eligibilityNote
            )
        )
    )
)</f>
        <v/>
      </c>
      <c r="H22" s="366"/>
      <c r="I22" s="366"/>
      <c r="J22" s="367"/>
    </row>
    <row r="23" spans="1:12" ht="13.5" customHeight="1" x14ac:dyDescent="0.3">
      <c r="A23" s="121"/>
      <c r="B23" s="122"/>
      <c r="C23" s="123"/>
      <c r="D23" s="122"/>
      <c r="E23" s="123"/>
      <c r="F23" s="122"/>
      <c r="G23" s="122"/>
      <c r="H23" s="122"/>
      <c r="I23" s="123"/>
      <c r="J23" s="124"/>
      <c r="L23" s="29"/>
    </row>
    <row r="24" spans="1:12" ht="104.25" customHeight="1" x14ac:dyDescent="0.3">
      <c r="A24" s="138" t="s">
        <v>155</v>
      </c>
      <c r="B24" s="145" cm="1">
        <f t="array" ref="B24">_xlfn.LET(
    _xlpm.reduction,IFERROR(--$J$38,0),
    _xlpm.projectCost,IFERROR(--$B$22,0),
    _xlpm.building,'User Inputs'!$B$10,
    _xlpm.sectionRow,
    _xlfn.SWITCH(
        _xlpm.building,
        'Dev. Notes'!$B$17,ROW('MEA Incentives'!$A$4),
        'Dev. Notes'!$B$18,ROW('MEA Incentives'!$A$13),
        'Dev. Notes'!$B$19,ROW('MEA Incentives'!$A$22),
        'Dev. Notes'!$B$20,ROW('MEA Incentives'!$A$31),
        'Dev. Notes'!$B$21,ROW('MEA Incentives'!$A$31),
        0
    ),
    _xlpm.tierRow,
    IF(
        OR(
            _xlpm.sectionRow=0,
            _xlpm.reduction&lt;200,
            _xlpm.projectCost&lt;=0
        ),
        0,
        IF(
            _xlpm.reduction&lt;=2499,
            _xlpm.sectionRow+1,
            IF(
                _xlpm.reduction&lt;=4999,
                _xlpm.sectionRow+2,
                _xlpm.sectionRow+3
            )
        )
    ),
    _xlpm.rateColumn,
    COLUMN('MEA Incentives'!$B$4),
    _xlpm.bonusColumn,
    COLUMN('MEA Incentives'!$D$4),
    _xlpm.baseRate,
    IF(
        _xlpm.tierRow=0,
        0,
        IFERROR(
            INDEX(
                'MEA Incentives'!$A:$D,
                _xlpm.tierRow,
                _xlpm.rateColumn
            ),
            0
        )
    ),
    _xlpm.bonusEligible,
    IF(
        OR(
            _xlpm.building='Dev. Notes'!$B$17,
            _xlpm.building='Dev. Notes'!$B$18
        ),
        'User Inputs'!$B$12="Yes",
        _xlpm.building='Dev. Notes'!$B$21
    ),
    _xlpm.bonusRate,
    IF(
        OR(
            _xlpm.tierRow=0,
            NOT(_xlpm.bonusEligible)
        ),
        0,
        IFERROR(
            INDEX(
                'MEA Incentives'!$A:$D,
                _xlpm.tierRow,
                _xlpm.bonusColumn
            ),
            0
        )
    ),
    _xlpm.baseRate+_xlpm.bonusRate
)</f>
        <v>0</v>
      </c>
      <c r="C24" s="139" t="s">
        <v>156</v>
      </c>
      <c r="D24" s="145" cm="1">
        <f t="array" ref="D24">_xlfn.LET(
    _xlpm.reduction,IFERROR(--$J$38,0),
    _xlpm.projectCost,IFERROR(--$D$22,0),
    _xlpm.building,'User Inputs'!$B$10,
    _xlpm.onlyMI,'Dev. Notes'!$B$25,
    _xlpm.sectionRow,
    _xlfn.SWITCH(
        _xlpm.building,
        'Dev. Notes'!$B$17,ROW('MEA Incentives'!$A$4),
        'Dev. Notes'!$B$18,ROW('MEA Incentives'!$A$13),
        'Dev. Notes'!$B$19,ROW('MEA Incentives'!$A$22),
        'Dev. Notes'!$B$20,ROW('MEA Incentives'!$A$31),
        'Dev. Notes'!$B$21,ROW('MEA Incentives'!$A$31),
        0
    ),
    _xlpm.tierRow,
    IF(
        OR(
            _xlpm.onlyMI,
            _xlpm.sectionRow=0,
            _xlpm.reduction&lt;200,
            _xlpm.projectCost&lt;=0
        ),
        0,
        IF(
            _xlpm.reduction&lt;=2499,
            _xlpm.sectionRow+1,
            IF(
                _xlpm.reduction&lt;=4999,
                _xlpm.sectionRow+2,
                _xlpm.sectionRow+3
            )
        )
    ),
    _xlpm.rateColumn,
    COLUMN('MEA Incentives'!$C$4),
    _xlpm.bonusColumn,
    COLUMN('MEA Incentives'!$D$4),
    _xlpm.baseRate,
    IF(
        _xlpm.tierRow=0,
        0,
        IFERROR(
            INDEX(
                'MEA Incentives'!$A:$D,
                _xlpm.tierRow,
                _xlpm.rateColumn
            ),
            0
        )
    ),
    _xlpm.bonusEligible,
    IF(
        OR(
            _xlpm.building='Dev. Notes'!$B$17,
            _xlpm.building='Dev. Notes'!$B$18
        ),
        'User Inputs'!$B$12="Yes",
        _xlpm.building='Dev. Notes'!$B$21
    ),
    _xlpm.bonusRate,
    IF(
        OR(
            _xlpm.tierRow=0,
            NOT(_xlpm.bonusEligible)
        ),
        0,
        IFERROR(
            INDEX(
                'MEA Incentives'!$A:$D,
                _xlpm.tierRow,
                _xlpm.bonusColumn
            ),
            0
        )
    ),
    _xlpm.baseRate+_xlpm.bonusRate
)</f>
        <v>0</v>
      </c>
      <c r="E24" s="139" t="s">
        <v>157</v>
      </c>
      <c r="F24" s="146" t="str" cm="1">
        <f t="array" ref="F24">_xlfn.LET(
    _xlpm.solarType,'User Inputs'!$H$10,
    _xlpm.building,'User Inputs'!$B$10,
    _xlpm.groundRate,IFERROR(--'Dev. Notes'!$C$41,0),
    _xlpm.canopyRate,IFERROR(--'Dev. Notes'!$C$42,0),
    IF(
        OR(
            _xlpm.building='Dev. Notes'!$B$17,
            _xlpm.solarType='Dev. Notes'!$B$4
        ),
        "",
        _xlfn.SWITCH(
            _xlpm.solarType,
            'Dev. Notes'!$B$5,
            _xlpm.groundRate,
            'Dev. Notes'!$B$6,
            _xlpm.canopyRate,
            'Dev. Notes'!$B$7,
            "Ground: $"&amp;
            TEXT(_xlpm.groundRate,"#,##0")&amp;
            "/kW"&amp;
            CHAR(10)&amp;
            "Canopy: $"&amp;
            TEXT(_xlpm.canopyRate,"#,##0")&amp;
            "/kW",
            ""
        )
    )
)</f>
        <v/>
      </c>
      <c r="G24" s="366" t="str">
        <f>_xlfn.LET(
    _xlpm.reduction,IFERROR(--$D$38,0),
    _xlpm.rate,IFERROR(--$D$24,0),
    _xlpm.calculated,IFERROR(--$D$26,0),
    _xlpm.totalReduction,IFERROR(--$J$38,0),
    _xlpm.onlyMI,'Dev. Notes'!$B$25,
    _xlpm.miProjectCost,IFERROR(--$D$22,0),
    _xlpm.prefix,"² ",
    _xlpm.tandemNote,
    IF(
        'Dev. Notes'!$C$94,
        " One or more unsupported Tandem measures have been excluded from this calculation.",
        ""
    ),
    _xlpm.eligibilityNote,
    IF(
        'Dev. Notes'!$C$100,
        " One or more measures that are ineligible for the selected building type have been excluded from this calculation.",
        ""
    ),
    _xlpm.miMin,IFERROR(--'MEA Incentives'!$B$65,0),
    _xlpm.miMax,IFERROR(--'MEA Incentives'!$B$66,0),
    _xlpm.miPctCap,IFERROR(--'MEA Incentives'!$B$67,0),
    _xlpm.miMinProjectCost,IFERROR(--'MEA Incentives'!$B$68,0),
    _xlpm.miCalculated,_xlpm.miProjectCost*_xlpm.miPctCap,
    _xlpm.miFinal,MIN(_xlpm.miCalculated,_xlpm.miMax),
    IF(
        _xlpm.onlyMI,
        IF(
            _xlpm.miProjectCost&lt;_xlpm.miMinProjectCost,
            _xlpm.prefix&amp;
            "The Mechanical Insulation project cost of $"&amp;
            TEXT(_xlpm.miProjectCost,"#,##0")&amp;
            " is below the $"&amp;
            TEXT(_xlpm.miMinProjectCost,"#,##0")&amp;
            " minimum project cost.",
            IF(
                _xlpm.miFinal&lt;_xlpm.miMin,
                _xlpm.prefix&amp;
                "The calculated Mechanical Insulation grant of $"&amp;
                TEXT(_xlpm.miFinal,"#,##0")&amp;
                " is below the $"&amp;
                TEXT(_xlpm.miMin,"#,##0")&amp;
                " minimum grant amount.",
                IF(
                    _xlpm.miCalculated&gt;_xlpm.miMax,
                    _xlpm.prefix&amp;
                    "The calculated Mechanical Insulation grant of $"&amp;
                    TEXT(_xlpm.miCalculated,"#,##0")&amp;
                    " has been capped at $"&amp;
                    TEXT(_xlpm.miFinal,"#,##0")&amp;
                    " based on the Track 4 maximum grant amount.",
                    _xlpm.prefix&amp;
                    "The Mechanical Insulation grant is $"&amp;
                    TEXT(_xlpm.miFinal,"#,##0")&amp;
                    " and is within the applicable Track 4 funding limits."
                )
            )
        ),
        IF(
            _xlpm.reduction&lt;=0,
            IF(
                OR('Dev. Notes'!$C$94,'Dev. Notes'!$C$100),
                _xlpm.prefix&amp;
                "No eligible Energy Efficiency incentive remains after excluding ineligible measures.",
                ""
            ),
            IF(
                _xlpm.totalReduction&lt;200,
                _xlpm.prefix&amp;
                "The Energy Efficiency incentive is $0 because total projected lifetime emissions reductions are below the 200 MTCO₂e minimum."&amp;
                _xlpm.tandemNote&amp;
                _xlpm.eligibilityNote,
                IF(
                    _xlpm.rate&lt;=0,
                    "",
                    _xlpm.prefix&amp;
                    "The calculated Energy Efficiency incentive is $"&amp;
                    TEXT(_xlpm.calculated,"#,##0")&amp;
                    " based on "&amp;
                    TEXT(_xlpm.reduction,"#,##0.0")&amp;
                    " MTCO₂e of reductions at $"&amp;
                    TEXT(_xlpm.rate,"#,##0")&amp;
                    " per MTCO₂e."&amp;
                    _xlpm.tandemNote&amp;
                    _xlpm.eligibilityNote
                )
            )
        )
    )
)</f>
        <v/>
      </c>
      <c r="H24" s="366"/>
      <c r="I24" s="366"/>
      <c r="J24" s="367"/>
      <c r="L24" s="29"/>
    </row>
    <row r="25" spans="1:12" ht="13.5" customHeight="1" x14ac:dyDescent="0.3">
      <c r="A25" s="121"/>
      <c r="B25" s="122"/>
      <c r="C25" s="123"/>
      <c r="D25" s="122"/>
      <c r="E25" s="123"/>
      <c r="F25" s="122"/>
      <c r="G25" s="122"/>
      <c r="H25" s="122"/>
      <c r="I25" s="123"/>
      <c r="J25" s="124"/>
      <c r="L25" s="29"/>
    </row>
    <row r="26" spans="1:12" ht="104.25" customHeight="1" x14ac:dyDescent="0.3">
      <c r="A26" s="138" t="s">
        <v>158</v>
      </c>
      <c r="B26" s="145">
        <f>_xlfn.LET(
    _xlpm.reduction,IFERROR(--$B$38,0),
    _xlpm.rate,IFERROR(--$B$24,0),
    _xlpm.calculated,
    _xlpm.reduction*_xlpm.rate,
    IF(
        OR(
            _xlpm.reduction&lt;=0,
            _xlpm.rate&lt;=0
        ),
        0,
        _xlpm.calculated
    )
)</f>
        <v>0</v>
      </c>
      <c r="C26" s="139" t="s">
        <v>159</v>
      </c>
      <c r="D26" s="145">
        <f>_xlfn.LET(
    _xlpm.reduction,IFERROR(--$D$38,0),
    _xlpm.rate,IFERROR(--$D$24,0),
    _xlpm.onlyMI,'Dev. Notes'!$B$25,
    _xlpm.projectCost,IFERROR(--$D$22,0),
    _xlpm.calculated,
    _xlpm.reduction*_xlpm.rate,
    _xlpm.miMin,
    IFERROR(--'MEA Incentives'!$B$65,0),
    _xlpm.miMax,
    IFERROR(--'MEA Incentives'!$B$66,0),
    _xlpm.miPctCap,
    IFERROR(--'MEA Incentives'!$B$67,0),
    _xlpm.miMinProjectCost,
    IFERROR(--'MEA Incentives'!$B$68,0),
    _xlpm.miCalculated,
    _xlpm.projectCost*_xlpm.miPctCap,
    _xlpm.miFinalGrant,
    MIN(_xlpm.miCalculated,_xlpm.miMax),
    IF(
        _xlpm.onlyMI,
        IF(
            OR(
                _xlpm.projectCost&lt;_xlpm.miMinProjectCost,
                _xlpm.miFinalGrant&lt;_xlpm.miMin
            ),
            0,
            _xlpm.miFinalGrant
        ),
        IF(
            OR(
                _xlpm.reduction&lt;=0,
                _xlpm.rate&lt;=0
            ),
            0,
            _xlpm.calculated
        )
    )
)</f>
        <v>0</v>
      </c>
      <c r="E26" s="139" t="s">
        <v>160</v>
      </c>
      <c r="F26" s="145" cm="1">
        <f t="array" ref="F26">_xlfn.LET(
    _xlpm.solarType,'User Inputs'!$H$10,
    _xlpm.groundRaw,IFERROR(--'Dev. Notes'!$C$47,0),
    _xlpm.canopyRaw,IFERROR(--'Dev. Notes'!$C$49,0),
    _xlpm.calculatedSolar,_xlpm.groundRaw+_xlpm.canopyRaw,
    _xlpm.groundCost,
    IF(
        OR(
            _xlpm.solarType='Dev. Notes'!$B$5,
            _xlpm.solarType="Both"
        ),
        IFERROR(--'User Inputs'!$H$58,0),
        0
    ),
    _xlpm.canopyCost,
    IF(
        OR(
            _xlpm.solarType='Dev. Notes'!$B$6,
            _xlpm.solarType="Both"
        ),
        IFERROR(--'User Inputs'!$H$60,0),
        0
    ),
    _xlpm.totalSolarCost,_xlpm.groundCost+_xlpm.canopyCost,
    _xlpm.groundMin,IFERROR(--'Dev. Notes'!$C$43,0),
    _xlpm.canopyMin,IFERROR(--'Dev. Notes'!$C$45,0),
    _xlpm.solarMin,MAX(_xlpm.groundMin,_xlpm.canopyMin),
    _xlpm.groundMax,IFERROR(--'Dev. Notes'!$C$44,0),
    _xlpm.canopyMax,IFERROR(--'Dev. Notes'!$C$46,0),
    _xlpm.solarMax,MAX(_xlpm.groundMax,_xlpm.canopyMax),
    _xlpm.building,'User Inputs'!$B$10,
    _xlpm.solarPctCap,
    _xlfn.SWITCH(
        _xlpm.building,
        'Dev. Notes'!$B$18,'MEA Incentives'!$B$45,
        'Dev. Notes'!$B$19,'MEA Incentives'!$B$53,
        'Dev. Notes'!$B$20,'MEA Incentives'!$B$61,
        'Dev. Notes'!$B$21,'MEA Incentives'!$B$61,
        0
    ),
    _xlpm.projectCostCap,_xlpm.totalSolarCost*_xlpm.solarPctCap,
    _xlpm.finalSolar,
    MIN(
        _xlpm.calculatedSolar,
        _xlpm.solarMax,
        _xlpm.projectCostCap
    ),
    IF(
        OR(
            _xlpm.calculatedSolar&lt;=0,
            _xlpm.totalSolarCost&lt;=0,
            _xlpm.solarMin&lt;=0,
            _xlpm.solarMax&lt;=0,
            _xlpm.solarPctCap&lt;=0,
            _xlpm.finalSolar&lt;_xlpm.solarMin
        ),
        0,
        _xlpm.finalSolar
    )
)</f>
        <v>0</v>
      </c>
      <c r="G26" s="366" t="str" cm="1">
        <f t="array" ref="G26">_xlfn.LET(
    _xlpm.solarType,'User Inputs'!$H$10,
    _xlpm.solarGrant,IFERROR(--$F$26,0),
    _xlpm.groundRaw,IFERROR(--'Dev. Notes'!$C$47,0),
    _xlpm.canopyRaw,IFERROR(--'Dev. Notes'!$C$49,0),
    _xlpm.rawSolar,_xlpm.groundRaw+_xlpm.canopyRaw,
    _xlpm.groundCost,
    IF(
        OR(
            _xlpm.solarType='Dev. Notes'!$B$5,
            _xlpm.solarType="Both"
        ),
        IFERROR(--'User Inputs'!$H$58,0),
        0
    ),
    _xlpm.canopyCost,
    IF(
        OR(
            _xlpm.solarType='Dev. Notes'!$B$6,
            _xlpm.solarType="Both"
        ),
        IFERROR(--'User Inputs'!$H$60,0),
        0
    ),
    _xlpm.solarCost,_xlpm.groundCost+_xlpm.canopyCost,
    _xlpm.solarMin,
    MAX(
        IFERROR(--'Dev. Notes'!$C$43,0),
        IFERROR(--'Dev. Notes'!$C$45,0)
    ),
    _xlpm.solarMax,
    MAX(
        IFERROR(--'Dev. Notes'!$C$44,0),
        IFERROR(--'Dev. Notes'!$C$46,0)
    ),
    _xlpm.building,'User Inputs'!$B$10,
    _xlpm.solarPctCap,
    _xlfn.SWITCH(
        _xlpm.building,
        'Dev. Notes'!$B$18,'MEA Incentives'!$B$45,
        'Dev. Notes'!$B$19,'MEA Incentives'!$B$53,
        'Dev. Notes'!$B$20,'MEA Incentives'!$B$61,
        'Dev. Notes'!$B$21,'MEA Incentives'!$B$61,
        0
    ),
    _xlpm.solarCostCap,_xlpm.solarCost*_xlpm.solarPctCap,
    _xlpm.prefix,"³ ",
    _xlpm.solarLabel,
    IF(
        _xlpm.solarType="Both",
        "combined Solar",
        IF(
            _xlpm.solarType='Dev. Notes'!$B$5,
            "Ground/Rooftop Solar",
            IF(
                _xlpm.solarType='Dev. Notes'!$B$6,
                "Canopy Solar",
                "Solar"
            )
        )
    ),
    IF(
        OR(
            _xlpm.building='Dev. Notes'!$B$17,
            _xlpm.solarType='Dev. Notes'!$B$4,
            _xlpm.rawSolar&lt;=0
        ),
        "",
        IF(
            _xlpm.solarGrant&lt;=0,
            IF(
                MIN(_xlpm.rawSolar,_xlpm.solarMax,_xlpm.solarCostCap)&lt;_xlpm.solarMin,
                _xlpm.prefix&amp;
                "The calculated "&amp;
                _xlpm.solarLabel&amp;
                " incentive of $"&amp;
                TEXT(MIN(_xlpm.rawSolar,_xlpm.solarMax,_xlpm.solarCostCap),"#,##0")&amp;
                " is below the $"&amp;
                TEXT(_xlpm.solarMin,"#,##0")&amp;
                " minimum Solar grant amount.",
                _xlpm.prefix&amp;
                "No eligible "&amp;
                _xlpm.solarLabel&amp;
                " grant was calculated. Check the Solar project cost, system size, ownership, and eligibility inputs."
            ),
            IF(
                _xlpm.solarGrant&lt;_xlpm.rawSolar,
                _xlpm.prefix&amp;
                "The calculated "&amp;
                _xlpm.solarLabel&amp;
                " incentive of $"&amp;
                TEXT(_xlpm.rawSolar,"#,##0")&amp;
                " has been capped at $"&amp;
                TEXT(_xlpm.solarGrant,"#,##0")&amp;
                " after applying the applicable Solar maximum grant and project cost cap.",
                _xlpm.prefix&amp;
                "The "&amp;
                _xlpm.solarLabel&amp;
                " incentive of $"&amp;
                TEXT(_xlpm.solarGrant,"#,##0")&amp;
                " meets the minimum grant requirement and is within the applicable Solar funding limits."
            )
        )
    )
)</f>
        <v/>
      </c>
      <c r="H26" s="366"/>
      <c r="I26" s="366"/>
      <c r="J26" s="367"/>
      <c r="L26" s="29"/>
    </row>
    <row r="27" spans="1:12" ht="21.9" customHeight="1" x14ac:dyDescent="0.3">
      <c r="A27" s="114"/>
      <c r="B27" s="115"/>
      <c r="C27" s="116"/>
      <c r="D27" s="115"/>
      <c r="E27" s="147" t="s">
        <v>101</v>
      </c>
      <c r="F27" s="148"/>
      <c r="G27" s="148"/>
      <c r="H27" s="148"/>
      <c r="I27" s="147"/>
      <c r="J27" s="149"/>
      <c r="L27" s="29"/>
    </row>
    <row r="28" spans="1:12" ht="90" customHeight="1" x14ac:dyDescent="0.3">
      <c r="A28" s="114"/>
      <c r="B28" s="115"/>
      <c r="C28" s="116"/>
      <c r="D28" s="115"/>
      <c r="E28" s="150" t="str">
        <f>'User Inputs'!$I$65</f>
        <v>Solar PV Requested Grant Amount per kW</v>
      </c>
      <c r="F28" s="145" t="str">
        <f>'User Inputs'!$J$65</f>
        <v/>
      </c>
      <c r="G28" s="368" t="str">
        <f>'User Inputs'!$A$65</f>
        <v/>
      </c>
      <c r="H28" s="368"/>
      <c r="I28" s="368"/>
      <c r="J28" s="369"/>
      <c r="L28" s="29"/>
    </row>
    <row r="29" spans="1:12" ht="21.9" customHeight="1" x14ac:dyDescent="0.3">
      <c r="A29" s="114"/>
      <c r="B29" s="115"/>
      <c r="C29" s="116"/>
      <c r="D29" s="115"/>
      <c r="E29" s="147" t="s">
        <v>161</v>
      </c>
      <c r="F29" s="148"/>
      <c r="G29" s="148"/>
      <c r="H29" s="148"/>
      <c r="I29" s="147"/>
      <c r="J29" s="149"/>
      <c r="L29" s="29"/>
    </row>
    <row r="30" spans="1:12" ht="90" customHeight="1" x14ac:dyDescent="0.3">
      <c r="A30" s="115"/>
      <c r="B30" s="115"/>
      <c r="C30" s="115"/>
      <c r="D30" s="115"/>
      <c r="E30" s="150" t="str">
        <f>'User Inputs'!$I$67</f>
        <v>Solar PV Requested Grant Amount per kW</v>
      </c>
      <c r="F30" s="145" t="str">
        <f>'User Inputs'!$J$67</f>
        <v/>
      </c>
      <c r="G30" s="370" t="str">
        <f>'User Inputs'!$A$67</f>
        <v/>
      </c>
      <c r="H30" s="370"/>
      <c r="I30" s="370"/>
      <c r="J30" s="371"/>
      <c r="L30" s="29"/>
    </row>
    <row r="31" spans="1:12" ht="13.5" customHeight="1" x14ac:dyDescent="0.3">
      <c r="A31" s="114"/>
      <c r="B31" s="115"/>
      <c r="C31" s="116"/>
      <c r="D31" s="115"/>
      <c r="E31" s="116"/>
      <c r="F31" s="115"/>
      <c r="G31" s="115"/>
      <c r="H31" s="115"/>
      <c r="I31" s="116"/>
      <c r="J31" s="129"/>
      <c r="L31" s="29"/>
    </row>
    <row r="32" spans="1:12" ht="123" customHeight="1" x14ac:dyDescent="0.3">
      <c r="A32" s="132"/>
      <c r="B32" s="132"/>
      <c r="C32" s="132"/>
      <c r="D32" s="132"/>
      <c r="E32" s="151" t="s">
        <v>117</v>
      </c>
      <c r="F32" s="152" t="str" cm="1">
        <f t="array" ref="F32">_xlfn.LET(
    _xlpm.electrification,IFERROR(--$B$26,0),
    _xlpm.efficiency,IFERROR(--$D$26,0),
    _xlpm.solar,IFERROR(--$F$26,0),
    _xlpm.eeCalculated,_xlpm.electrification+_xlpm.efficiency,
    _xlpm.eeProjectCost,IFERROR(--$B$22,0)+IFERROR(--$D$22,0),
    _xlpm.totalProjectCost,IFERROR(--$J$12,0),
    _xlpm.totalReduction,IFERROR(--$J$38,0),
    _xlpm.building,'User Inputs'!$B$10,
    _xlpm.onlyMI,'Dev. Notes'!$B$25,
    _xlpm.sectionRow,
    _xlfn.SWITCH(
        _xlpm.building,
        'Dev. Notes'!$B$17,ROW('MEA Incentives'!$A$4),
        'Dev. Notes'!$B$18,ROW('MEA Incentives'!$A$13),
        'Dev. Notes'!$B$19,ROW('MEA Incentives'!$A$22),
        'Dev. Notes'!$B$20,ROW('MEA Incentives'!$A$31),
        'Dev. Notes'!$B$21,ROW('MEA Incentives'!$A$31),
        0
    ),
    _xlpm.incentiveColumn,COLUMN('MEA Incentives'!$B$4),
    _xlpm.minGrantRow,IF(_xlpm.sectionRow=0,0,_xlpm.sectionRow+4),
    _xlpm.maxGrantRow,IF(_xlpm.sectionRow=0,0,_xlpm.sectionRow+5),
    _xlpm.pctCapRow,IF(_xlpm.sectionRow=0,0,_xlpm.sectionRow+6),
    _xlpm.minGrant,
    IF(_xlpm.minGrantRow=0,0,IFERROR(INDEX('MEA Incentives'!$A:$D,_xlpm.minGrantRow,_xlpm.incentiveColumn),0)),
    _xlpm.maxGrant,
    IF(_xlpm.maxGrantRow=0,0,IFERROR(INDEX('MEA Incentives'!$A:$D,_xlpm.maxGrantRow,_xlpm.incentiveColumn),0)),
    _xlpm.pctCap,
    IF(_xlpm.pctCapRow=0,0,IFERROR(INDEX('MEA Incentives'!$A:$D,_xlpm.pctCapRow,_xlpm.incentiveColumn),0)),
    _xlpm.eeProjectCostCap,_xlpm.eeProjectCost*_xlpm.pctCap,
    _xlpm.eeAllowed,
    IF(
        OR(_xlpm.eeCalculated&lt;=0,_xlpm.totalReduction&lt;200),
        0,
        MIN(_xlpm.eeCalculated,_xlpm.maxGrant,_xlpm.eeProjectCostCap)
    ),
    _xlpm.eeFinal,
    IF(_xlpm.eeAllowed&lt;_xlpm.minGrant,0,_xlpm.eeAllowed),
    IF(
        _xlpm.building="",
        "Select building type in cell B10 of user inputs",
        IF(
            _xlpm.totalProjectCost&lt;0,
            "Project costs in rows 52, 58 or 60 of user inputs must be &gt; 0",
            IF(
                _xlpm.totalProjectCost=0,
                IF(
                    'Dev. Notes'!$C$94,
                    "N/A - Unsupported Tandem measure(s).",
                    IF(
                        'Dev. Notes'!$C$100,
                        "N/A - This building type is ineligible for the selected measure.",
                        "Enter project costs in rows 52, 58 or 60 of user inputs"
                    )
                ),
                IF(
                    _xlpm.onlyMI,
                    _xlpm.efficiency,
                    IF(
                        _xlpm.eeFinal+_xlpm.solar&lt;=0,
                        "No grant amount calculated. Check inputs and eligibility",
                        _xlpm.eeFinal+_xlpm.solar
                    )
                )
            )
        )
    )
)</f>
        <v>Select building type in cell B10 of user inputs</v>
      </c>
      <c r="G32" s="372" t="str" cm="1">
        <f t="array" ref="G32">_xlfn.LET(
    _xlpm.electrification,IFERROR(--$B$26,0),
    _xlpm.efficiency,IFERROR(--$D$26,0),
    _xlpm.solar,IFERROR(--$F$26,0),
    _xlpm.eeCalculated,_xlpm.electrification+_xlpm.efficiency,
    _xlpm.eeProjectCost,IFERROR(--$B$22,0)+IFERROR(--$D$22,0),
    _xlpm.totalReduction,IFERROR(--$J$38,0),
    _xlpm.building,'User Inputs'!$B$10,
    _xlpm.onlyMI,'Dev. Notes'!$B$25,
    _xlpm.solarType,'User Inputs'!$H$10,
    _xlpm.sectionRow,
    _xlfn.SWITCH(
        _xlpm.building,
        'Dev. Notes'!$B$17,ROW('MEA Incentives'!$A$4),
        'Dev. Notes'!$B$18,ROW('MEA Incentives'!$A$13),
        'Dev. Notes'!$B$19,ROW('MEA Incentives'!$A$22),
        'Dev. Notes'!$B$20,ROW('MEA Incentives'!$A$31),
        'Dev. Notes'!$B$21,ROW('MEA Incentives'!$A$31),
        0
    ),
    _xlpm.incentiveColumn,COLUMN('MEA Incentives'!$B$4),
    _xlpm.minGrant,
    IF(
        _xlpm.sectionRow=0,
        0,
        IFERROR(
            INDEX('MEA Incentives'!$A:$D,_xlpm.sectionRow+4,_xlpm.incentiveColumn),
            0
        )
    ),
    _xlpm.maxGrant,
    IF(
        _xlpm.sectionRow=0,
        0,
        IFERROR(
            INDEX('MEA Incentives'!$A:$D,_xlpm.sectionRow+5,_xlpm.incentiveColumn),
            0
        )
    ),
    _xlpm.pctCap,
    IF(
        _xlpm.sectionRow=0,
        0,
        IFERROR(
            INDEX('MEA Incentives'!$A:$D,_xlpm.sectionRow+6,_xlpm.incentiveColumn),
            0
        )
    ),
    _xlpm.eeCostCap,_xlpm.eeProjectCost*_xlpm.pctCap,
    _xlpm.eeAllowed,
    IF(
        OR(
            _xlpm.eeCalculated&lt;=0,
            _xlpm.totalReduction&lt;200
        ),
        0,
        MIN(
            _xlpm.eeCalculated,
            _xlpm.maxGrant,
            _xlpm.eeCostCap
        )
    ),
    _xlpm.eeFinal,
    IF(
        _xlpm.eeAllowed&lt;_xlpm.minGrant,
        0,
        _xlpm.eeAllowed
    ),
    _xlpm.groundRaw,IFERROR(--'Dev. Notes'!$C$47,0),
    _xlpm.canopyRaw,IFERROR(--'Dev. Notes'!$C$49,0),
    _xlpm.solarRaw,_xlpm.groundRaw+_xlpm.canopyRaw,
    _xlpm.groundCost,
    IF(
        OR(
            _xlpm.solarType='Dev. Notes'!$B$5,
            _xlpm.solarType="Both"
        ),
        IFERROR(--'User Inputs'!$H$58,0),
        0
    ),
    _xlpm.canopyCost,
    IF(
        OR(
            _xlpm.solarType='Dev. Notes'!$B$6,
            _xlpm.solarType="Both"
        ),
        IFERROR(--'User Inputs'!$H$60,0),
        0
    ),
    _xlpm.solarCost,_xlpm.groundCost+_xlpm.canopyCost,
    _xlpm.solarMin,
    MAX(
        IFERROR(--'Dev. Notes'!$C$43,0),
        IFERROR(--'Dev. Notes'!$C$45,0)
    ),
    _xlpm.solarMax,
    MAX(
        IFERROR(--'Dev. Notes'!$C$44,0),
        IFERROR(--'Dev. Notes'!$C$46,0)
    ),
    _xlpm.solarPctCap,
    _xlfn.SWITCH(
        _xlpm.building,
        'Dev. Notes'!$B$18,'MEA Incentives'!$B$45,
        'Dev. Notes'!$B$19,'MEA Incentives'!$B$53,
        'Dev. Notes'!$B$20,'MEA Incentives'!$B$61,
        'Dev. Notes'!$B$21,'MEA Incentives'!$B$61,
        0
    ),
    _xlpm.solarCostCap,_xlpm.solarCost*_xlpm.solarPctCap,
    _xlpm.solarAllowed,MIN(_xlpm.solarRaw,_xlpm.solarMax,_xlpm.solarCostCap),
    _xlpm.miProjectCost,IFERROR(--$D$22,0),
    _xlpm.miMin,IFERROR(--'MEA Incentives'!$B$65,0),
    _xlpm.miMax,IFERROR(--'MEA Incentives'!$B$66,0),
    _xlpm.miPctCap,IFERROR(--'MEA Incentives'!$B$67,0),
    _xlpm.miMinProjectCost,IFERROR(--'MEA Incentives'!$B$68,0),
    _xlpm.miCalculated,_xlpm.miProjectCost*_xlpm.miPctCap,
    _xlpm.miAllowed,MIN(_xlpm.miCalculated,_xlpm.miMax),
    _xlpm.finalGrant,
    IF(
        _xlpm.onlyMI,
        _xlpm.efficiency,
        _xlpm.eeFinal+_xlpm.solar
    ),
    _xlpm.eeNote,
    IF(
        _xlpm.eeCalculated&lt;=0,
        "",
        IF(
            _xlpm.totalReduction&lt;200,
            " The Electrification and Energy Efficiency portion is ineligible because total projected lifetime emissions reductions are below the 200 MTCO₂e minimum.",
            IF(
                _xlpm.eeAllowed&lt;_xlpm.minGrant,
                " The Electrification and Energy Efficiency portion did not meet the $"&amp;
                TEXT(_xlpm.minGrant,"#,##0")&amp;
                " minimum grant amount.",
                IF(
                    _xlpm.eeAllowed&lt;_xlpm.eeCalculated,
                    " The Electrification and Energy Efficiency incentive was capped at $"&amp;
                    TEXT(_xlpm.eeAllowed,"#,##0")&amp;
                    " based on the applicable funding limits.",
                    ""
                )
            )
        )
    ),
    _xlpm.solarNote,
    IF(
        _xlpm.solarRaw&lt;=0,
        "",
        IF(
            AND(
                _xlpm.solar&lt;=0,
                _xlpm.solarAllowed&lt;_xlpm.solarMin
            ),
            " The Solar portion did not meet the $"&amp;
            TEXT(_xlpm.solarMin,"#,##0")&amp;
            " minimum grant amount.",
            IF(
                _xlpm.solar&lt;_xlpm.solarRaw,
                " The Solar incentive was capped at $"&amp;
                TEXT(_xlpm.solar,"#,##0")&amp;
                " based on the applicable Solar funding limits.",
                ""
            )
        )
    ),
    _xlpm.tandemNote,
    IF(
        'Dev. Notes'!$C$94,
        " Unsupported Tandem measures were excluded from the calculation.",
        ""
    ),
    _xlpm.eligibilityNote,
    IF(
        'Dev. Notes'!$C$100,
        " Measures that are ineligible for the selected building type were excluded from the calculation.",
        ""
    ),
    IF(
        _xlpm.building="",
        "",
        IF(
            _xlpm.onlyMI,
            IF(
                _xlpm.miProjectCost&lt;_xlpm.miMinProjectCost,
                "No Mechanical Insulation grant amount was calculated because the project cost is below the $"&amp;
                TEXT(_xlpm.miMinProjectCost,"#,##0")&amp;
                " Track 4 minimum project cost.",
                IF(
                    _xlpm.miAllowed&lt;_xlpm.miMin,
                    "No Mechanical Insulation grant amount was calculated because the calculated grant is below the $"&amp;
                    TEXT(_xlpm.miMin,"#,##0")&amp;
                    " Track 4 minimum grant amount.",
                    IF(
                        _xlpm.miAllowed&lt;_xlpm.miCalculated,
                        "The final calculated Mechanical Insulation grant amount is $"&amp;
                        TEXT(_xlpm.finalGrant,"#,##0")&amp;
                        ". The grant was capped at $"&amp;
                        TEXT(_xlpm.miMax,"#,##0")&amp;
                        " based on the Track 4 maximum grant amount.",
                        "The final calculated Mechanical Insulation grant amount is $"&amp;
                        TEXT(_xlpm.finalGrant,"#,##0")&amp;
                        " and is within the applicable Track 4 funding limits."
                    )
                )
            ),
            IF(
                _xlpm.finalGrant&lt;=0,
                "No eligible grant amount was calculated."&amp;
                _xlpm.eeNote&amp;
                _xlpm.solarNote&amp;
                _xlpm.tandemNote&amp;
                _xlpm.eligibilityNote,
                "The final calculated grant amount is $"&amp;
                TEXT(_xlpm.finalGrant,"#,##0")&amp;
                "."&amp;
                _xlpm.eeNote&amp;
                _xlpm.solarNote&amp;
                _xlpm.tandemNote&amp;
                _xlpm.eligibilityNote
            )
        )
    )
)</f>
        <v/>
      </c>
      <c r="H32" s="373"/>
      <c r="I32" s="373"/>
      <c r="J32" s="374"/>
      <c r="L32" s="29"/>
    </row>
    <row r="33" spans="1:12" ht="13.5" customHeight="1" x14ac:dyDescent="0.45">
      <c r="A33" s="153"/>
      <c r="B33" s="154"/>
      <c r="C33" s="153"/>
      <c r="D33" s="154"/>
      <c r="E33" s="153"/>
      <c r="F33" s="154"/>
      <c r="G33" s="115"/>
      <c r="H33" s="115"/>
      <c r="I33" s="116"/>
      <c r="J33" s="115"/>
    </row>
    <row r="34" spans="1:12" ht="39.9" customHeight="1" x14ac:dyDescent="0.5">
      <c r="A34" s="117" t="s">
        <v>162</v>
      </c>
      <c r="B34" s="118"/>
      <c r="C34" s="118"/>
      <c r="D34" s="118"/>
      <c r="E34" s="118"/>
      <c r="F34" s="118"/>
      <c r="G34" s="118"/>
      <c r="H34" s="118"/>
      <c r="I34" s="118"/>
      <c r="J34" s="127"/>
    </row>
    <row r="35" spans="1:12" ht="13.5" customHeight="1" x14ac:dyDescent="0.45">
      <c r="A35" s="114"/>
      <c r="B35" s="115"/>
      <c r="C35" s="116"/>
      <c r="D35" s="115"/>
      <c r="E35" s="116"/>
      <c r="F35" s="115"/>
      <c r="G35" s="115"/>
      <c r="H35" s="115"/>
      <c r="I35" s="116"/>
      <c r="J35" s="129"/>
    </row>
    <row r="36" spans="1:12" ht="120" customHeight="1" x14ac:dyDescent="0.45">
      <c r="A36" s="138" t="s">
        <v>163</v>
      </c>
      <c r="B36" s="49">
        <f>IF(
OR('User Inputs'!$F$10="",'User Inputs'!$F$10=0),
0,
SUM(
IF(
'User Inputs'!$F$10&gt;=1,
IFERROR(
(
INDEX('Embedded Values'!$D$22:$D$34,MATCH('User Inputs'!$B$34,'Embedded Values'!$B$22:$B$34,0))="Electrification"
)*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
IF(OR(N('User Inputs'!$B$23)&gt;0,N('User Inputs'!$B$41)&lt;0),'User Inputs'!$B$41*'Embedded Values'!$D$5,0)+
IF(OR(N('User Inputs'!$D$23)&gt;0,N('User Inputs'!$D$41)&lt;0),'User Inputs'!$D$41*'Embedded Values'!$D$6,0)+
IF(OR(N('User Inputs'!$F$23)&gt;0,N('User Inputs'!$F$41)&lt;0),'User Inputs'!$F$41*'Embedded Values'!$D$7,0)+
IF(OR(N('User Inputs'!$H$23)&gt;0,N('User Inputs'!$H$41)&lt;0),'User Inputs'!$H$41*'Embedded Values'!$D$8,0)+
IF(OR(N('User Inputs'!$J$23)&gt;0,N('User Inputs'!$J$41)&lt;0),'User Inputs'!$J$41*'Embedded Values'!$D$9,0)
),
0
),
0
),
IF(
'User Inputs'!$F$10&gt;=2,
IFERROR(
(
INDEX('Embedded Values'!$D$22:$D$34,MATCH('User Inputs'!$D$34,'Embedded Values'!$B$22:$B$34,0))="Electrification"
)*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
IF(OR(N('User Inputs'!$B$23)&gt;0,N('User Inputs'!$B$43)&lt;0),'User Inputs'!$B$43*'Embedded Values'!$D$5,0)+
IF(OR(N('User Inputs'!$D$23)&gt;0,N('User Inputs'!$D$43)&lt;0),'User Inputs'!$D$43*'Embedded Values'!$D$6,0)+
IF(OR(N('User Inputs'!$F$23)&gt;0,N('User Inputs'!$F$43)&lt;0),'User Inputs'!$F$43*'Embedded Values'!$D$7,0)+
IF(OR(N('User Inputs'!$H$23)&gt;0,N('User Inputs'!$H$43)&lt;0),'User Inputs'!$H$43*'Embedded Values'!$D$8,0)+
IF(OR(N('User Inputs'!$J$23)&gt;0,N('User Inputs'!$J$43)&lt;0),'User Inputs'!$J$43*'Embedded Values'!$D$9,0)
),
0
),
0
),
IF(
'User Inputs'!$F$10&gt;=3,
IFERROR(
(
INDEX('Embedded Values'!$D$22:$D$34,MATCH('User Inputs'!$F$34,'Embedded Values'!$B$22:$B$34,0))="Electrification"
)*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
IF(OR(N('User Inputs'!$B$23)&gt;0,N('User Inputs'!$B$45)&lt;0),'User Inputs'!$B$45*'Embedded Values'!$D$5,0)+
IF(OR(N('User Inputs'!$D$23)&gt;0,N('User Inputs'!$D$45)&lt;0),'User Inputs'!$D$45*'Embedded Values'!$D$6,0)+
IF(OR(N('User Inputs'!$F$23)&gt;0,N('User Inputs'!$F$45)&lt;0),'User Inputs'!$F$45*'Embedded Values'!$D$7,0)+
IF(OR(N('User Inputs'!$H$23)&gt;0,N('User Inputs'!$H$45)&lt;0),'User Inputs'!$H$45*'Embedded Values'!$D$8,0)+
IF(OR(N('User Inputs'!$J$23)&gt;0,N('User Inputs'!$J$45)&lt;0),'User Inputs'!$J$45*'Embedded Values'!$D$9,0)
),
0
),
0
),
IF(
'User Inputs'!$F$10&gt;=4,
IFERROR(
(
INDEX('Embedded Values'!$D$22:$D$34,MATCH('User Inputs'!$H$34,'Embedded Values'!$B$22:$B$34,0))="Electrification"
)*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
IF(OR(N('User Inputs'!$B$23)&gt;0,N('User Inputs'!$B$47)&lt;0),'User Inputs'!$B$47*'Embedded Values'!$D$5,0)+
IF(OR(N('User Inputs'!$D$23)&gt;0,N('User Inputs'!$D$47)&lt;0),'User Inputs'!$D$47*'Embedded Values'!$D$6,0)+
IF(OR(N('User Inputs'!$F$23)&gt;0,N('User Inputs'!$F$47)&lt;0),'User Inputs'!$F$47*'Embedded Values'!$D$7,0)+
IF(OR(N('User Inputs'!$H$23)&gt;0,N('User Inputs'!$H$47)&lt;0),'User Inputs'!$H$47*'Embedded Values'!$D$8,0)+
IF(OR(N('User Inputs'!$J$23)&gt;0,N('User Inputs'!$J$47)&lt;0),'User Inputs'!$J$47*'Embedded Values'!$D$9,0)
),
0
),
0
)
)
)</f>
        <v>0</v>
      </c>
      <c r="C36" s="139" t="s">
        <v>164</v>
      </c>
      <c r="D36" s="49">
        <f>IF(
OR('User Inputs'!$F$10="",'User Inputs'!$F$10=0),
0,
SUM(
IF(
'User Inputs'!$F$10&gt;=1,
IFERROR(
(
INDEX('Embedded Values'!$D$22:$D$34,MATCH('User Inputs'!$B$34,'Embedded Values'!$B$22:$B$34,0))="Energy Efficiency"
)*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
IF(OR(N('User Inputs'!$B$23)&gt;0,N('User Inputs'!$B$41)&lt;0),'User Inputs'!$B$41*'Embedded Values'!$D$5,0)+
IF(OR(N('User Inputs'!$D$23)&gt;0,N('User Inputs'!$D$41)&lt;0),'User Inputs'!$D$41*'Embedded Values'!$D$6,0)+
IF(OR(N('User Inputs'!$F$23)&gt;0,N('User Inputs'!$F$41)&lt;0),'User Inputs'!$F$41*'Embedded Values'!$D$7,0)+
IF(OR(N('User Inputs'!$H$23)&gt;0,N('User Inputs'!$H$41)&lt;0),'User Inputs'!$H$41*'Embedded Values'!$D$8,0)+
IF(OR(N('User Inputs'!$J$23)&gt;0,N('User Inputs'!$J$41)&lt;0),'User Inputs'!$J$41*'Embedded Values'!$D$9,0)
),
0
),
0
),
IF(
'User Inputs'!$F$10&gt;=2,
IFERROR(
(
INDEX('Embedded Values'!$D$22:$D$34,MATCH('User Inputs'!$D$34,'Embedded Values'!$B$22:$B$34,0))="Energy Efficiency"
)*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
IF(OR(N('User Inputs'!$B$23)&gt;0,N('User Inputs'!$B$43)&lt;0),'User Inputs'!$B$43*'Embedded Values'!$D$5,0)+
IF(OR(N('User Inputs'!$D$23)&gt;0,N('User Inputs'!$D$43)&lt;0),'User Inputs'!$D$43*'Embedded Values'!$D$6,0)+
IF(OR(N('User Inputs'!$F$23)&gt;0,N('User Inputs'!$F$43)&lt;0),'User Inputs'!$F$43*'Embedded Values'!$D$7,0)+
IF(OR(N('User Inputs'!$H$23)&gt;0,N('User Inputs'!$H$43)&lt;0),'User Inputs'!$H$43*'Embedded Values'!$D$8,0)+
IF(OR(N('User Inputs'!$J$23)&gt;0,N('User Inputs'!$J$43)&lt;0),'User Inputs'!$J$43*'Embedded Values'!$D$9,0)
),
0
),
0
),
IF(
'User Inputs'!$F$10&gt;=3,
IFERROR(
(
INDEX('Embedded Values'!$D$22:$D$34,MATCH('User Inputs'!$F$34,'Embedded Values'!$B$22:$B$34,0))="Energy Efficiency"
)*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
IF(OR(N('User Inputs'!$B$23)&gt;0,N('User Inputs'!$B$45)&lt;0),'User Inputs'!$B$45*'Embedded Values'!$D$5,0)+
IF(OR(N('User Inputs'!$D$23)&gt;0,N('User Inputs'!$D$45)&lt;0),'User Inputs'!$D$45*'Embedded Values'!$D$6,0)+
IF(OR(N('User Inputs'!$F$23)&gt;0,N('User Inputs'!$F$45)&lt;0),'User Inputs'!$F$45*'Embedded Values'!$D$7,0)+
IF(OR(N('User Inputs'!$H$23)&gt;0,N('User Inputs'!$H$45)&lt;0),'User Inputs'!$H$45*'Embedded Values'!$D$8,0)+
IF(OR(N('User Inputs'!$J$23)&gt;0,N('User Inputs'!$J$45)&lt;0),'User Inputs'!$J$45*'Embedded Values'!$D$9,0)
),
0
),
0
),
IF(
'User Inputs'!$F$10&gt;=4,
IFERROR(
(
INDEX('Embedded Values'!$D$22:$D$34,MATCH('User Inputs'!$H$34,'Embedded Values'!$B$22:$B$34,0))="Energy Efficiency"
)*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
IF(OR(N('User Inputs'!$B$23)&gt;0,N('User Inputs'!$B$47)&lt;0),'User Inputs'!$B$47*'Embedded Values'!$D$5,0)+
IF(OR(N('User Inputs'!$D$23)&gt;0,N('User Inputs'!$D$47)&lt;0),'User Inputs'!$D$47*'Embedded Values'!$D$6,0)+
IF(OR(N('User Inputs'!$F$23)&gt;0,N('User Inputs'!$F$47)&lt;0),'User Inputs'!$F$47*'Embedded Values'!$D$7,0)+
IF(OR(N('User Inputs'!$H$23)&gt;0,N('User Inputs'!$H$47)&lt;0),'User Inputs'!$H$47*'Embedded Values'!$D$8,0)+
IF(OR(N('User Inputs'!$J$23)&gt;0,N('User Inputs'!$J$47)&lt;0),'User Inputs'!$J$47*'Embedded Values'!$D$9,0)
),
0
),
0
)
)
)</f>
        <v>0</v>
      </c>
      <c r="E36" s="139" t="s">
        <v>165</v>
      </c>
      <c r="F36" s="49" cm="1">
        <f t="array" ref="F36">IF(
    OR(
        'User Inputs'!$B$10='Dev. Notes'!$B$17,
        'User Inputs'!$H$10='Dev. Notes'!$B$4
    ),
    0,
    _xlfn.SWITCH(
        'User Inputs'!$H$10,
        'Dev. Notes'!$B$5,
            IFERROR(--'User Inputs'!$F$58,0)*'Embedded Values'!$D$5,
        'Dev. Notes'!$B$6,
            IFERROR(--'User Inputs'!$F$60,0)*'Embedded Values'!$D$5,
        'Dev. Notes'!$B$7,
            (
                IFERROR(--'User Inputs'!$F$58,0)
                +IFERROR(--'User Inputs'!$F$60,0)
            )*'Embedded Values'!$D$5,
        0
    )
)</f>
        <v>0</v>
      </c>
      <c r="G36" s="155"/>
      <c r="H36" s="155"/>
      <c r="I36" s="156" t="s">
        <v>166</v>
      </c>
      <c r="J36" s="57">
        <f>SUM($B$36,$D$36,$F$36)</f>
        <v>0</v>
      </c>
    </row>
    <row r="37" spans="1:12" ht="13.5" customHeight="1" x14ac:dyDescent="0.45">
      <c r="A37" s="114"/>
      <c r="B37" s="51"/>
      <c r="C37" s="116"/>
      <c r="D37" s="51"/>
      <c r="E37" s="116"/>
      <c r="F37" s="51"/>
      <c r="G37" s="155"/>
      <c r="H37" s="155"/>
      <c r="I37" s="157"/>
      <c r="J37" s="58"/>
    </row>
    <row r="38" spans="1:12" ht="120" customHeight="1" x14ac:dyDescent="0.45">
      <c r="A38" s="158" t="s">
        <v>167</v>
      </c>
      <c r="B38" s="46">
        <f>IF(
OR('User Inputs'!$F$10="",'User Inputs'!$F$10=0),
0,
SUM(
IF(
'User Inputs'!$F$10&gt;=1,
IFERROR(
(
INDEX('Embedded Values'!$D$22:$D$34,MATCH('User Inputs'!$B$34,'Embedded Values'!$B$22:$B$34,0))="Electrification"
)*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
IF(OR(N('User Inputs'!$B$23)&gt;0,N('User Inputs'!$B$41)&lt;0),'User Inputs'!$B$41*'Embedded Values'!$D$5,0)+
IF(OR(N('User Inputs'!$D$23)&gt;0,N('User Inputs'!$D$41)&lt;0),'User Inputs'!$D$41*'Embedded Values'!$D$6,0)+
IF(OR(N('User Inputs'!$F$23)&gt;0,N('User Inputs'!$F$41)&lt;0),'User Inputs'!$F$41*'Embedded Values'!$D$7,0)+
IF(OR(N('User Inputs'!$H$23)&gt;0,N('User Inputs'!$H$41)&lt;0),'User Inputs'!$H$41*'Embedded Values'!$D$8,0)+
IF(OR(N('User Inputs'!$J$23)&gt;0,N('User Inputs'!$J$41)&lt;0),'User Inputs'!$J$41*'Embedded Values'!$D$9,0)
)*
INDEX('Embedded Values'!$C$22:$C$34,MATCH('User Inputs'!$B$34,'Embedded Values'!$B$22:$B$34,0)),
0
),
0
),
IF(
'User Inputs'!$F$10&gt;=2,
IFERROR(
(
INDEX('Embedded Values'!$D$22:$D$34,MATCH('User Inputs'!$D$34,'Embedded Values'!$B$22:$B$34,0))="Electrification"
)*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
IF(OR(N('User Inputs'!$B$23)&gt;0,N('User Inputs'!$B$43)&lt;0),'User Inputs'!$B$43*'Embedded Values'!$D$5,0)+
IF(OR(N('User Inputs'!$D$23)&gt;0,N('User Inputs'!$D$43)&lt;0),'User Inputs'!$D$43*'Embedded Values'!$D$6,0)+
IF(OR(N('User Inputs'!$F$23)&gt;0,N('User Inputs'!$F$43)&lt;0),'User Inputs'!$F$43*'Embedded Values'!$D$7,0)+
IF(OR(N('User Inputs'!$H$23)&gt;0,N('User Inputs'!$H$43)&lt;0),'User Inputs'!$H$43*'Embedded Values'!$D$8,0)+
IF(OR(N('User Inputs'!$J$23)&gt;0,N('User Inputs'!$J$43)&lt;0),'User Inputs'!$J$43*'Embedded Values'!$D$9,0)
)*
INDEX('Embedded Values'!$C$22:$C$34,MATCH('User Inputs'!$D$34,'Embedded Values'!$B$22:$B$34,0)),
0
),
0
),
IF(
'User Inputs'!$F$10&gt;=3,
IFERROR(
(
INDEX('Embedded Values'!$D$22:$D$34,MATCH('User Inputs'!$F$34,'Embedded Values'!$B$22:$B$34,0))="Electrification"
)*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
IF(OR(N('User Inputs'!$B$23)&gt;0,N('User Inputs'!$B$45)&lt;0),'User Inputs'!$B$45*'Embedded Values'!$D$5,0)+
IF(OR(N('User Inputs'!$D$23)&gt;0,N('User Inputs'!$D$45)&lt;0),'User Inputs'!$D$45*'Embedded Values'!$D$6,0)+
IF(OR(N('User Inputs'!$F$23)&gt;0,N('User Inputs'!$F$45)&lt;0),'User Inputs'!$F$45*'Embedded Values'!$D$7,0)+
IF(OR(N('User Inputs'!$H$23)&gt;0,N('User Inputs'!$H$45)&lt;0),'User Inputs'!$H$45*'Embedded Values'!$D$8,0)+
IF(OR(N('User Inputs'!$J$23)&gt;0,N('User Inputs'!$J$45)&lt;0),'User Inputs'!$J$45*'Embedded Values'!$D$9,0)
)*
INDEX('Embedded Values'!$C$22:$C$34,MATCH('User Inputs'!$F$34,'Embedded Values'!$B$22:$B$34,0)),
0
),
0
),
IF(
'User Inputs'!$F$10&gt;=4,
IFERROR(
(
INDEX('Embedded Values'!$D$22:$D$34,MATCH('User Inputs'!$H$34,'Embedded Values'!$B$22:$B$34,0))="Electrification"
)*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
IF(OR(N('User Inputs'!$B$23)&gt;0,N('User Inputs'!$B$47)&lt;0),'User Inputs'!$B$47*'Embedded Values'!$D$5,0)+
IF(OR(N('User Inputs'!$D$23)&gt;0,N('User Inputs'!$D$47)&lt;0),'User Inputs'!$D$47*'Embedded Values'!$D$6,0)+
IF(OR(N('User Inputs'!$F$23)&gt;0,N('User Inputs'!$F$47)&lt;0),'User Inputs'!$F$47*'Embedded Values'!$D$7,0)+
IF(OR(N('User Inputs'!$H$23)&gt;0,N('User Inputs'!$H$47)&lt;0),'User Inputs'!$H$47*'Embedded Values'!$D$8,0)+
IF(OR(N('User Inputs'!$J$23)&gt;0,N('User Inputs'!$J$47)&lt;0),'User Inputs'!$J$47*'Embedded Values'!$D$9,0)
)*
INDEX('Embedded Values'!$C$22:$C$34,MATCH('User Inputs'!$H$34,'Embedded Values'!$B$22:$B$34,0)),
0
),
0
)
)
)</f>
        <v>0</v>
      </c>
      <c r="C38" s="159" t="s">
        <v>168</v>
      </c>
      <c r="D38" s="46">
        <f>IF(
OR('User Inputs'!$F$10="",'User Inputs'!$F$10=0),
0,
SUM(
IF(
'User Inputs'!$F$10&gt;=1,
IFERROR(
(
INDEX('Embedded Values'!$D$22:$D$34,MATCH('User Inputs'!$B$34,'Embedded Values'!$B$22:$B$34,0))="Energy Efficiency"
)*
OR(
INDEX('Embedded Values'!$F$22:$F$34,MATCH('User Inputs'!$B$34,'Embedded Values'!$B$22:$B$34,0))="All",
ISNUMBER(SEARCH(";"&amp;'User Inputs'!$B$10&amp;";",";"&amp;SUBSTITUTE(INDEX('Embedded Values'!$F$22:$F$34,MATCH('User Inputs'!$B$34,'Embedded Values'!$B$22:$B$34,0)),"; ",";")&amp;";"))
)*
OR(
INDEX('Embedded Values'!$E$22:$E$34,MATCH('User Inputs'!$B$34,'Embedded Values'!$B$22:$B$34,0))&lt;&gt;"Tandem",
'Dev. Notes'!$C$93=TRUE
)*
(
IF(OR(N('User Inputs'!$B$23)&gt;0,N('User Inputs'!$B$41)&lt;0),'User Inputs'!$B$41*'Embedded Values'!$D$5,0)+
IF(OR(N('User Inputs'!$D$23)&gt;0,N('User Inputs'!$D$41)&lt;0),'User Inputs'!$D$41*'Embedded Values'!$D$6,0)+
IF(OR(N('User Inputs'!$F$23)&gt;0,N('User Inputs'!$F$41)&lt;0),'User Inputs'!$F$41*'Embedded Values'!$D$7,0)+
IF(OR(N('User Inputs'!$H$23)&gt;0,N('User Inputs'!$H$41)&lt;0),'User Inputs'!$H$41*'Embedded Values'!$D$8,0)+
IF(OR(N('User Inputs'!$J$23)&gt;0,N('User Inputs'!$J$41)&lt;0),'User Inputs'!$J$41*'Embedded Values'!$D$9,0)
)*
INDEX('Embedded Values'!$C$22:$C$34,MATCH('User Inputs'!$B$34,'Embedded Values'!$B$22:$B$34,0)),
0
),
0
),
IF(
'User Inputs'!$F$10&gt;=2,
IFERROR(
(
INDEX('Embedded Values'!$D$22:$D$34,MATCH('User Inputs'!$D$34,'Embedded Values'!$B$22:$B$34,0))="Energy Efficiency"
)*
OR(
INDEX('Embedded Values'!$F$22:$F$34,MATCH('User Inputs'!$D$34,'Embedded Values'!$B$22:$B$34,0))="All",
ISNUMBER(SEARCH(";"&amp;'User Inputs'!$B$10&amp;";",";"&amp;SUBSTITUTE(INDEX('Embedded Values'!$F$22:$F$34,MATCH('User Inputs'!$D$34,'Embedded Values'!$B$22:$B$34,0)),"; ",";")&amp;";"))
)*
OR(
INDEX('Embedded Values'!$E$22:$E$34,MATCH('User Inputs'!$D$34,'Embedded Values'!$B$22:$B$34,0))&lt;&gt;"Tandem",
'Dev. Notes'!$C$93=TRUE
)*
(
IF(OR(N('User Inputs'!$B$23)&gt;0,N('User Inputs'!$B$43)&lt;0),'User Inputs'!$B$43*'Embedded Values'!$D$5,0)+
IF(OR(N('User Inputs'!$D$23)&gt;0,N('User Inputs'!$D$43)&lt;0),'User Inputs'!$D$43*'Embedded Values'!$D$6,0)+
IF(OR(N('User Inputs'!$F$23)&gt;0,N('User Inputs'!$F$43)&lt;0),'User Inputs'!$F$43*'Embedded Values'!$D$7,0)+
IF(OR(N('User Inputs'!$H$23)&gt;0,N('User Inputs'!$H$43)&lt;0),'User Inputs'!$H$43*'Embedded Values'!$D$8,0)+
IF(OR(N('User Inputs'!$J$23)&gt;0,N('User Inputs'!$J$43)&lt;0),'User Inputs'!$J$43*'Embedded Values'!$D$9,0)
)*
INDEX('Embedded Values'!$C$22:$C$34,MATCH('User Inputs'!$D$34,'Embedded Values'!$B$22:$B$34,0)),
0
),
0
),
IF(
'User Inputs'!$F$10&gt;=3,
IFERROR(
(
INDEX('Embedded Values'!$D$22:$D$34,MATCH('User Inputs'!$F$34,'Embedded Values'!$B$22:$B$34,0))="Energy Efficiency"
)*
OR(
INDEX('Embedded Values'!$F$22:$F$34,MATCH('User Inputs'!$F$34,'Embedded Values'!$B$22:$B$34,0))="All",
ISNUMBER(SEARCH(";"&amp;'User Inputs'!$B$10&amp;";",";"&amp;SUBSTITUTE(INDEX('Embedded Values'!$F$22:$F$34,MATCH('User Inputs'!$F$34,'Embedded Values'!$B$22:$B$34,0)),"; ",";")&amp;";"))
)*
OR(
INDEX('Embedded Values'!$E$22:$E$34,MATCH('User Inputs'!$F$34,'Embedded Values'!$B$22:$B$34,0))&lt;&gt;"Tandem",
'Dev. Notes'!$C$93=TRUE
)*
(
IF(OR(N('User Inputs'!$B$23)&gt;0,N('User Inputs'!$B$45)&lt;0),'User Inputs'!$B$45*'Embedded Values'!$D$5,0)+
IF(OR(N('User Inputs'!$D$23)&gt;0,N('User Inputs'!$D$45)&lt;0),'User Inputs'!$D$45*'Embedded Values'!$D$6,0)+
IF(OR(N('User Inputs'!$F$23)&gt;0,N('User Inputs'!$F$45)&lt;0),'User Inputs'!$F$45*'Embedded Values'!$D$7,0)+
IF(OR(N('User Inputs'!$H$23)&gt;0,N('User Inputs'!$H$45)&lt;0),'User Inputs'!$H$45*'Embedded Values'!$D$8,0)+
IF(OR(N('User Inputs'!$J$23)&gt;0,N('User Inputs'!$J$45)&lt;0),'User Inputs'!$J$45*'Embedded Values'!$D$9,0)
)*
INDEX('Embedded Values'!$C$22:$C$34,MATCH('User Inputs'!$F$34,'Embedded Values'!$B$22:$B$34,0)),
0
),
0
),
IF(
'User Inputs'!$F$10&gt;=4,
IFERROR(
(
INDEX('Embedded Values'!$D$22:$D$34,MATCH('User Inputs'!$H$34,'Embedded Values'!$B$22:$B$34,0))="Energy Efficiency"
)*
OR(
INDEX('Embedded Values'!$F$22:$F$34,MATCH('User Inputs'!$H$34,'Embedded Values'!$B$22:$B$34,0))="All",
ISNUMBER(SEARCH(";"&amp;'User Inputs'!$B$10&amp;";",";"&amp;SUBSTITUTE(INDEX('Embedded Values'!$F$22:$F$34,MATCH('User Inputs'!$H$34,'Embedded Values'!$B$22:$B$34,0)),"; ",";")&amp;";"))
)*
OR(
INDEX('Embedded Values'!$E$22:$E$34,MATCH('User Inputs'!$H$34,'Embedded Values'!$B$22:$B$34,0))&lt;&gt;"Tandem",
'Dev. Notes'!$C$93=TRUE
)*
(
IF(OR(N('User Inputs'!$B$23)&gt;0,N('User Inputs'!$B$47)&lt;0),'User Inputs'!$B$47*'Embedded Values'!$D$5,0)+
IF(OR(N('User Inputs'!$D$23)&gt;0,N('User Inputs'!$D$47)&lt;0),'User Inputs'!$D$47*'Embedded Values'!$D$6,0)+
IF(OR(N('User Inputs'!$F$23)&gt;0,N('User Inputs'!$F$47)&lt;0),'User Inputs'!$F$47*'Embedded Values'!$D$7,0)+
IF(OR(N('User Inputs'!$H$23)&gt;0,N('User Inputs'!$H$47)&lt;0),'User Inputs'!$H$47*'Embedded Values'!$D$8,0)+
IF(OR(N('User Inputs'!$J$23)&gt;0,N('User Inputs'!$J$47)&lt;0),'User Inputs'!$J$47*'Embedded Values'!$D$9,0)
)*
INDEX('Embedded Values'!$C$22:$C$34,MATCH('User Inputs'!$H$34,'Embedded Values'!$B$22:$B$34,0)),
0
),
0
)
)
)</f>
        <v>0</v>
      </c>
      <c r="E38" s="159" t="s">
        <v>169</v>
      </c>
      <c r="F38" s="46">
        <f>IF(
    $F$36&lt;=0,
    0,
    $F$36*'Embedded Values'!$C$34
)</f>
        <v>0</v>
      </c>
      <c r="G38" s="160"/>
      <c r="H38" s="160"/>
      <c r="I38" s="133" t="s">
        <v>170</v>
      </c>
      <c r="J38" s="56">
        <f>SUM($B$38,$D$38,$F$38)</f>
        <v>0</v>
      </c>
    </row>
    <row r="39" spans="1:12" ht="13.5" customHeight="1" x14ac:dyDescent="0.3">
      <c r="A39" s="94"/>
      <c r="B39" s="94"/>
      <c r="C39" s="94"/>
      <c r="D39" s="94"/>
      <c r="E39" s="94"/>
      <c r="F39" s="94"/>
      <c r="G39" s="94"/>
      <c r="H39" s="94"/>
      <c r="I39" s="94"/>
      <c r="J39" s="94"/>
      <c r="L39" s="29"/>
    </row>
    <row r="40" spans="1:12" ht="18" customHeight="1" x14ac:dyDescent="0.45">
      <c r="A40" s="95"/>
      <c r="B40" s="95"/>
      <c r="C40" s="95"/>
      <c r="D40" s="95"/>
      <c r="E40" s="95"/>
      <c r="F40" s="95"/>
      <c r="G40" s="95"/>
      <c r="H40" s="95"/>
      <c r="I40" s="95"/>
      <c r="J40" s="95"/>
    </row>
    <row r="41" spans="1:12" ht="7.5" customHeight="1" x14ac:dyDescent="0.3">
      <c r="A41" s="96"/>
      <c r="B41" s="96"/>
      <c r="C41" s="96"/>
      <c r="D41" s="96"/>
      <c r="E41" s="96"/>
      <c r="F41" s="96"/>
      <c r="G41" s="96"/>
      <c r="H41" s="96"/>
      <c r="I41" s="96"/>
      <c r="J41" s="96"/>
      <c r="L41" s="29"/>
    </row>
  </sheetData>
  <sheetProtection algorithmName="SHA-512" hashValue="JpwDWk6UvjU2SgVkLeM3FnFN+Y6q8clmn43JsI3OL7aZvqooQvGnG2B44Iy1IQwoUpfMq4MaeQJz8mJTV3UYCw==" saltValue="YC63Nny+mxKkMn0cjA8NjQ==" spinCount="100000" sheet="1" objects="1" scenarios="1"/>
  <mergeCells count="8">
    <mergeCell ref="G26:J26"/>
    <mergeCell ref="G28:J28"/>
    <mergeCell ref="G30:J30"/>
    <mergeCell ref="G32:J32"/>
    <mergeCell ref="A3:J3"/>
    <mergeCell ref="G22:J22"/>
    <mergeCell ref="G24:J24"/>
    <mergeCell ref="A4:J4"/>
  </mergeCells>
  <conditionalFormatting sqref="B8">
    <cfRule type="expression" dxfId="33" priority="39">
      <formula>ISTEXT($B$8)</formula>
    </cfRule>
  </conditionalFormatting>
  <conditionalFormatting sqref="B18">
    <cfRule type="expression" dxfId="32" priority="15">
      <formula>ISTEXT($B$18)</formula>
    </cfRule>
  </conditionalFormatting>
  <conditionalFormatting sqref="D8">
    <cfRule type="expression" dxfId="31" priority="38">
      <formula>ISTEXT($D$8)</formula>
    </cfRule>
  </conditionalFormatting>
  <conditionalFormatting sqref="D18">
    <cfRule type="expression" dxfId="30" priority="14">
      <formula>ISTEXT($D$18)</formula>
    </cfRule>
  </conditionalFormatting>
  <conditionalFormatting sqref="F8">
    <cfRule type="expression" dxfId="25" priority="37">
      <formula>ISTEXT($F$8)</formula>
    </cfRule>
  </conditionalFormatting>
  <conditionalFormatting sqref="F32">
    <cfRule type="expression" dxfId="24" priority="18">
      <formula>ISTEXT($F$32)</formula>
    </cfRule>
  </conditionalFormatting>
  <conditionalFormatting sqref="G22">
    <cfRule type="expression" dxfId="23" priority="46" stopIfTrue="1">
      <formula>OR(     ISNUMBER(SEARCH("below",$G$22)),     ISNUMBER(SEARCH("exceeded",$G$22)),     ISNUMBER(SEARCH("exceeds",$G$22)),     ISNUMBER(SEARCH("less than",$G$22)),     ISNUMBER(SEARCH("ineligible",$G$22)),     ISNUMBER(SEARCH("Tandem",$G$22)) )</formula>
    </cfRule>
    <cfRule type="expression" dxfId="22" priority="48">
      <formula>AND(     $G$22&lt;&gt;"",     NOT(         OR(             ISNUMBER(SEARCH("below",$G$22)),             ISNUMBER(SEARCH("exceeded",$G$22)),             ISNUMBER(SEARCH("exceeds",$G$22)),             ISNUMBER(SEARCH("less than",$G$22)),             ISNUMBER(SEARCH("ineligible",$G$22)),             ISNUMBER(SEARCH("Tandem",$G$22)),             ISNUMBER(SEARCH("excluded",$G$22)),             ISNUMBER(SEARCH("No eligible",$G$22))         )     ) )</formula>
    </cfRule>
    <cfRule type="expression" dxfId="21" priority="54">
      <formula>$B$22&gt;0</formula>
    </cfRule>
  </conditionalFormatting>
  <conditionalFormatting sqref="G24">
    <cfRule type="expression" dxfId="20" priority="486" stopIfTrue="1">
      <formula>AND(     $G$24&lt;&gt;"",     OR(         ISNUMBER(SEARCH("below",$G$24)),         ISNUMBER(SEARCH("exceeded",$G$24)),         ISNUMBER(SEARCH("exceeds",$G$24)),         ISNUMBER(SEARCH("less than",$G$24)),         ISNUMBER(SEARCH("ineligible",$G$24)),         ISNUMBER(SEARCH("Tandem",$G$24)),         ISNUMBER(SEARCH("capped",$G$24)),         ISNUMBER(SEARCH("No eligible",$G$24)),         ISNUMBER(SEARCH("excluded",$G$24))     ) )</formula>
    </cfRule>
    <cfRule type="expression" dxfId="19" priority="487">
      <formula>AND(     $G$24&lt;&gt;"",     OR(         ISNUMBER(SEARCH("The calculated Energy Efficiency incentive is",$G$24)),         ISNUMBER(SEARCH("is within the applicable Track 4 funding limits",$G$24))     ) )</formula>
    </cfRule>
    <cfRule type="expression" dxfId="18" priority="489">
      <formula>$D$22&gt;0</formula>
    </cfRule>
  </conditionalFormatting>
  <conditionalFormatting sqref="G26">
    <cfRule type="expression" dxfId="17" priority="494">
      <formula>AND(     $G$26&lt;&gt;"",     OR(         ISNUMBER(SEARCH("below",$G$26)),         ISNUMBER(SEARCH("capped",$G$26)),         ISNUMBER(SEARCH("No eligible",$G$26))     ) )</formula>
    </cfRule>
    <cfRule type="expression" dxfId="16" priority="495">
      <formula>AND(     $G$26&lt;&gt;"",     NOT(         OR(             ISNUMBER(SEARCH("below",$G$26)),             ISNUMBER(SEARCH("capped",$G$26)),             ISNUMBER(SEARCH("No eligible",$G$26))         )     ) )</formula>
    </cfRule>
    <cfRule type="expression" dxfId="15" priority="496">
      <formula>$F$22&gt;0</formula>
    </cfRule>
  </conditionalFormatting>
  <conditionalFormatting sqref="G32">
    <cfRule type="expression" dxfId="12" priority="22" stopIfTrue="1">
      <formula>AND( $G$32&lt;&gt;"", OR( ISNUMBER(SEARCH("capped",$G$32)), ISNUMBER(SEARCH("ineligible",$G$32)), ISNUMBER(SEARCH("did not meet",$G$32)), ISNUMBER(SEARCH("No eligible",$G$32)), ISNUMBER(SEARCH("excluded",$G$32)) ) )</formula>
    </cfRule>
    <cfRule type="expression" dxfId="11" priority="23">
      <formula>AND( $G$32&lt;&gt;"", NOT( OR( ISNUMBER(SEARCH("capped",$G$32)), ISNUMBER(SEARCH("ineligible",$G$32)), ISNUMBER(SEARCH("did not meet",$G$32)), ISNUMBER(SEARCH("No eligible",$G$32)), ISNUMBER(SEARCH("excluded",$G$32)) ) ) )</formula>
    </cfRule>
  </conditionalFormatting>
  <conditionalFormatting sqref="G26:J26">
    <cfRule type="expression" dxfId="8" priority="497">
      <formula>OR($F$22=0,$F$22="")</formula>
    </cfRule>
  </conditionalFormatting>
  <conditionalFormatting sqref="H8">
    <cfRule type="expression" dxfId="3" priority="36">
      <formula>ISTEXT($H$8)</formula>
    </cfRule>
  </conditionalFormatting>
  <conditionalFormatting sqref="H18">
    <cfRule type="expression" dxfId="2" priority="13">
      <formula>ISTEXT($H$18)</formula>
    </cfRule>
  </conditionalFormatting>
  <conditionalFormatting sqref="J8">
    <cfRule type="expression" dxfId="1" priority="35">
      <formula>ISTEXT($J$8)</formula>
    </cfRule>
  </conditionalFormatting>
  <conditionalFormatting sqref="J18">
    <cfRule type="expression" dxfId="0" priority="19">
      <formula>ISTEXT($J$18)</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5" id="{2853122F-DDC9-49A2-96A4-B8CD5737AE4D}">
            <xm:f>OR( 'User Inputs'!$H$10='Dev. Notes'!$B$4, 'User Inputs'!$H$10='Dev. Notes'!$B$6, 'User Inputs'!$B$10='Dev. Notes'!$B$17 )</xm:f>
            <x14:dxf>
              <font>
                <color rgb="FFF0F9FA"/>
              </font>
              <fill>
                <patternFill>
                  <bgColor rgb="FFF0F9FA"/>
                </patternFill>
              </fill>
              <border>
                <left/>
                <right/>
                <top/>
                <bottom/>
              </border>
            </x14:dxf>
          </x14:cfRule>
          <xm:sqref>E28:F28</xm:sqref>
        </x14:conditionalFormatting>
        <x14:conditionalFormatting xmlns:xm="http://schemas.microsoft.com/office/excel/2006/main">
          <x14:cfRule type="expression" priority="4" id="{7E328608-C412-494C-A2D9-C59443EBBAE0}">
            <xm:f>OR(     'User Inputs'!$H$10='Dev. Notes'!$B$4,     'User Inputs'!$H$10='Dev. Notes'!$B$5,     'User Inputs'!$B$10='Dev. Notes'!$B$17 )</xm:f>
            <x14:dxf>
              <font>
                <color rgb="FFF0F9FA"/>
              </font>
              <fill>
                <patternFill>
                  <bgColor rgb="FFF0F9FA"/>
                </patternFill>
              </fill>
              <border>
                <left/>
                <right/>
                <bottom/>
                <vertical/>
                <horizontal/>
              </border>
            </x14:dxf>
          </x14:cfRule>
          <xm:sqref>E30:F30</xm:sqref>
        </x14:conditionalFormatting>
        <x14:conditionalFormatting xmlns:xm="http://schemas.microsoft.com/office/excel/2006/main">
          <x14:cfRule type="expression" priority="11" id="{F28BA6A4-4977-4A15-89AF-46D57BF523D8}">
            <xm:f>OR(     'User Inputs'!$H$10='Dev. Notes'!$B$4,     'User Inputs'!$H$10='Dev. Notes'!$B$6,     'User Inputs'!$B$10='Dev. Notes'!$B$17 )</xm:f>
            <x14:dxf>
              <font>
                <color rgb="FFF0F9FA"/>
              </font>
              <border>
                <bottom/>
                <vertical/>
                <horizontal/>
              </border>
            </x14:dxf>
          </x14:cfRule>
          <xm:sqref>E27:J27</xm:sqref>
        </x14:conditionalFormatting>
        <x14:conditionalFormatting xmlns:xm="http://schemas.microsoft.com/office/excel/2006/main">
          <x14:cfRule type="expression" priority="5" id="{51626A25-6265-42F2-888C-D71A4EB94F67}">
            <xm:f>OR(     'User Inputs'!$H$10='Dev. Notes'!$B$4,     'User Inputs'!$H$10='Dev. Notes'!$B$5,     'User Inputs'!$B$10='Dev. Notes'!$B$17 )</xm:f>
            <x14:dxf>
              <font>
                <color rgb="FFF0F9FA"/>
              </font>
              <border>
                <bottom/>
                <vertical/>
                <horizontal/>
              </border>
            </x14:dxf>
          </x14:cfRule>
          <xm:sqref>E29:J29</xm:sqref>
        </x14:conditionalFormatting>
        <x14:conditionalFormatting xmlns:xm="http://schemas.microsoft.com/office/excel/2006/main">
          <x14:cfRule type="expression" priority="8" id="{184E3A9C-9D44-4525-9034-5F7332F85E9C}">
            <xm:f>ISNUMBER(SEARCH("within",'User Inputs'!$A$65:$H$65))</xm:f>
            <x14:dxf>
              <font>
                <b val="0"/>
                <i val="0"/>
                <color theme="9" tint="-0.24994659260841701"/>
              </font>
            </x14:dxf>
          </x14:cfRule>
          <x14:cfRule type="expression" priority="9" id="{B5DAD226-BC97-4885-9439-C70BFA81D7B1}">
            <xm:f>ISNUMBER(SEARCH("exceeds",'User Inputs'!$A$65:$H$65))</xm:f>
            <x14:dxf>
              <font>
                <b val="0"/>
                <i val="0"/>
                <color theme="8" tint="-0.24994659260841701"/>
              </font>
              <fill>
                <patternFill>
                  <bgColor theme="6" tint="0.79998168889431442"/>
                </patternFill>
              </fill>
            </x14:dxf>
          </x14:cfRule>
          <xm:sqref>G28</xm:sqref>
        </x14:conditionalFormatting>
        <x14:conditionalFormatting xmlns:xm="http://schemas.microsoft.com/office/excel/2006/main">
          <x14:cfRule type="expression" priority="53" id="{00000000-000E-0000-0300-000030000000}">
            <xm:f>AND(     'Dev. Notes'!$C$94=FALSE,     'Dev. Notes'!$C$100=FALSE,     OR($B$22=0,$B$22="") )</xm:f>
            <x14:dxf>
              <fill>
                <patternFill>
                  <bgColor rgb="FFF0F9FA"/>
                </patternFill>
              </fill>
              <border>
                <top/>
                <bottom/>
                <vertical/>
                <horizontal/>
              </border>
            </x14:dxf>
          </x14:cfRule>
          <xm:sqref>G22:J22</xm:sqref>
        </x14:conditionalFormatting>
        <x14:conditionalFormatting xmlns:xm="http://schemas.microsoft.com/office/excel/2006/main">
          <x14:cfRule type="expression" priority="488" id="{00000000-000E-0000-0300-0000E7010000}">
            <xm:f>AND(     'Dev. Notes'!$C$94=FALSE,     'Dev. Notes'!$C$100=FALSE,     OR($D$22=0,$D$22="") )</xm:f>
            <x14:dxf>
              <fill>
                <patternFill>
                  <bgColor rgb="FFF0F9FA"/>
                </patternFill>
              </fill>
              <border>
                <top/>
                <bottom/>
                <vertical/>
                <horizontal/>
              </border>
            </x14:dxf>
          </x14:cfRule>
          <xm:sqref>G24:J24</xm:sqref>
        </x14:conditionalFormatting>
        <x14:conditionalFormatting xmlns:xm="http://schemas.microsoft.com/office/excel/2006/main">
          <x14:cfRule type="expression" priority="6" id="{A002BB36-2FB9-403C-A200-6C50830153C6}">
            <xm:f>OR( 'User Inputs'!$H$10='Dev. Notes'!$B$4, 'User Inputs'!$H$10='Dev. Notes'!$B$6, 'User Inputs'!$B$10='Dev. Notes'!$B$17 )</xm:f>
            <x14:dxf>
              <font>
                <color rgb="FFF0F9FA"/>
              </font>
              <fill>
                <patternFill>
                  <bgColor rgb="FFF0F9FA"/>
                </patternFill>
              </fill>
              <border>
                <bottom/>
                <vertical/>
                <horizontal/>
              </border>
            </x14:dxf>
          </x14:cfRule>
          <xm:sqref>G28:J28</xm:sqref>
        </x14:conditionalFormatting>
        <x14:conditionalFormatting xmlns:xm="http://schemas.microsoft.com/office/excel/2006/main">
          <x14:cfRule type="expression" priority="517" id="{F6D2CD61-69B4-418F-9950-F6F690D00FCE}">
            <xm:f>ISNUMBER(SEARCH("exceeds",'User Inputs'!$A$67:$H$67))</xm:f>
            <x14:dxf>
              <font>
                <color rgb="FFBE5201"/>
              </font>
              <fill>
                <patternFill>
                  <bgColor rgb="FFFEF2CD"/>
                </patternFill>
              </fill>
            </x14:dxf>
          </x14:cfRule>
          <x14:cfRule type="expression" priority="518" id="{70CF0C4D-1523-4427-A3E8-412722DD5D3F}">
            <xm:f>ISNUMBER(SEARCH("within",'User Inputs'!$A$67:$H$67))</xm:f>
            <x14:dxf>
              <font>
                <color rgb="FF2F9299"/>
              </font>
            </x14:dxf>
          </x14:cfRule>
          <x14:cfRule type="expression" priority="519" id="{9BD98300-7D0B-4256-A044-E22BAF649680}">
            <xm:f>OR(     'User Inputs'!$H$10='Dev. Notes'!$B$4,     'User Inputs'!$H$10='Dev. Notes'!$B$5,     'User Inputs'!$B$10='Dev. Notes'!$B$17 )</xm:f>
            <x14:dxf>
              <font>
                <color rgb="FFF0F9FA"/>
              </font>
              <fill>
                <patternFill>
                  <bgColor rgb="FFF0F9FA"/>
                </patternFill>
              </fill>
              <border>
                <bottom/>
                <vertical/>
                <horizontal/>
              </border>
            </x14:dxf>
          </x14:cfRule>
          <xm:sqref>G30:J30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ACC57-7760-4DF4-B57B-DDEC1704ABF4}">
  <sheetPr>
    <tabColor theme="0" tint="-0.34998626667073579"/>
  </sheetPr>
  <dimension ref="A1:I42"/>
  <sheetViews>
    <sheetView topLeftCell="A17" zoomScale="70" zoomScaleNormal="70" zoomScaleSheetLayoutView="70" workbookViewId="0">
      <selection activeCell="D17" sqref="D17"/>
    </sheetView>
  </sheetViews>
  <sheetFormatPr defaultColWidth="8.88671875" defaultRowHeight="13.2" x14ac:dyDescent="0.25"/>
  <cols>
    <col min="2" max="2" width="30.88671875" bestFit="1" customWidth="1"/>
    <col min="3" max="3" width="14.44140625" bestFit="1" customWidth="1"/>
    <col min="4" max="4" width="23" bestFit="1" customWidth="1"/>
    <col min="5" max="5" width="17.109375" bestFit="1" customWidth="1"/>
    <col min="6" max="6" width="45.88671875" customWidth="1"/>
    <col min="7" max="7" width="22.88671875" bestFit="1" customWidth="1"/>
    <col min="8" max="8" width="21.6640625" bestFit="1" customWidth="1"/>
    <col min="9" max="9" width="117.5546875" bestFit="1" customWidth="1"/>
  </cols>
  <sheetData>
    <row r="1" spans="1:9" ht="62.25" customHeight="1" x14ac:dyDescent="0.45">
      <c r="A1" s="30"/>
      <c r="B1" s="382" t="s">
        <v>171</v>
      </c>
      <c r="C1" s="383"/>
      <c r="D1" s="384"/>
      <c r="E1" s="30"/>
      <c r="F1" s="30"/>
      <c r="G1" s="30"/>
      <c r="H1" s="30"/>
      <c r="I1" s="30"/>
    </row>
    <row r="2" spans="1:9" ht="17.399999999999999" x14ac:dyDescent="0.3">
      <c r="A2" s="30"/>
      <c r="B2" s="30"/>
      <c r="C2" s="30"/>
      <c r="D2" s="30"/>
      <c r="E2" s="30"/>
      <c r="F2" s="30"/>
      <c r="G2" s="30"/>
      <c r="H2" s="30"/>
      <c r="I2" s="30"/>
    </row>
    <row r="3" spans="1:9" ht="18" x14ac:dyDescent="0.35">
      <c r="A3" s="18"/>
      <c r="B3" s="381" t="s">
        <v>172</v>
      </c>
      <c r="C3" s="381"/>
      <c r="D3" s="381"/>
      <c r="G3" s="31" t="s">
        <v>173</v>
      </c>
      <c r="H3" s="32" t="s">
        <v>174</v>
      </c>
      <c r="I3" s="33" t="s">
        <v>175</v>
      </c>
    </row>
    <row r="4" spans="1:9" ht="36" x14ac:dyDescent="0.35">
      <c r="A4" s="18"/>
      <c r="B4" s="34" t="s">
        <v>176</v>
      </c>
      <c r="C4" s="34" t="s">
        <v>177</v>
      </c>
      <c r="D4" s="34" t="s">
        <v>178</v>
      </c>
      <c r="G4" s="18"/>
      <c r="H4" s="18" t="s">
        <v>179</v>
      </c>
      <c r="I4" s="35"/>
    </row>
    <row r="5" spans="1:9" ht="18" x14ac:dyDescent="0.35">
      <c r="A5" s="18"/>
      <c r="B5" s="36" t="s">
        <v>180</v>
      </c>
      <c r="C5" s="36" t="s">
        <v>181</v>
      </c>
      <c r="D5" s="37">
        <v>3.0772730428607088E-4</v>
      </c>
      <c r="G5" s="18"/>
      <c r="H5" s="18"/>
      <c r="I5" s="38"/>
    </row>
    <row r="6" spans="1:9" ht="18" x14ac:dyDescent="0.35">
      <c r="A6" s="18"/>
      <c r="B6" s="36" t="s">
        <v>182</v>
      </c>
      <c r="C6" s="36" t="s">
        <v>183</v>
      </c>
      <c r="D6" s="37">
        <v>5.3566400000000011E-3</v>
      </c>
      <c r="G6" s="18"/>
      <c r="H6" s="18"/>
      <c r="I6" s="39"/>
    </row>
    <row r="7" spans="1:9" ht="18" x14ac:dyDescent="0.35">
      <c r="A7" s="18"/>
      <c r="B7" s="36" t="s">
        <v>184</v>
      </c>
      <c r="C7" s="36" t="s">
        <v>185</v>
      </c>
      <c r="D7" s="37">
        <v>5.8112624688000008E-3</v>
      </c>
      <c r="G7" s="18"/>
      <c r="H7" s="18"/>
      <c r="I7" s="39"/>
    </row>
    <row r="8" spans="1:9" ht="18" x14ac:dyDescent="0.35">
      <c r="A8" s="18"/>
      <c r="B8" s="36" t="s">
        <v>186</v>
      </c>
      <c r="C8" s="36" t="s">
        <v>185</v>
      </c>
      <c r="D8" s="37">
        <v>1.03369E-2</v>
      </c>
      <c r="G8" s="18"/>
      <c r="H8" s="18"/>
      <c r="I8" s="39"/>
    </row>
    <row r="9" spans="1:9" ht="18" x14ac:dyDescent="0.35">
      <c r="A9" s="18"/>
      <c r="B9" s="36" t="s">
        <v>187</v>
      </c>
      <c r="C9" s="36" t="s">
        <v>188</v>
      </c>
      <c r="D9" s="37">
        <v>0.66369999999999996</v>
      </c>
      <c r="G9" s="18"/>
      <c r="H9" s="18"/>
      <c r="I9" s="39"/>
    </row>
    <row r="10" spans="1:9" ht="18" x14ac:dyDescent="0.35">
      <c r="A10" s="18"/>
      <c r="B10" s="40"/>
      <c r="C10" s="40"/>
      <c r="D10" s="40"/>
      <c r="G10" s="18"/>
      <c r="H10" s="18"/>
      <c r="I10" s="35"/>
    </row>
    <row r="11" spans="1:9" ht="18" x14ac:dyDescent="0.35">
      <c r="A11" s="18"/>
      <c r="B11" s="378" t="s">
        <v>189</v>
      </c>
      <c r="C11" s="379"/>
      <c r="D11" s="380"/>
      <c r="G11" s="18"/>
      <c r="H11" s="18"/>
      <c r="I11" s="35"/>
    </row>
    <row r="12" spans="1:9" ht="18" x14ac:dyDescent="0.35">
      <c r="A12" s="18"/>
      <c r="B12" s="34" t="s">
        <v>176</v>
      </c>
      <c r="C12" s="34" t="s">
        <v>177</v>
      </c>
      <c r="D12" s="34" t="s">
        <v>190</v>
      </c>
      <c r="G12" s="18"/>
      <c r="H12" s="18"/>
      <c r="I12" s="35"/>
    </row>
    <row r="13" spans="1:9" ht="18" x14ac:dyDescent="0.35">
      <c r="A13" s="18"/>
      <c r="B13" s="36" t="s">
        <v>180</v>
      </c>
      <c r="C13" s="36" t="s">
        <v>181</v>
      </c>
      <c r="D13" s="41">
        <v>0.18190000000000001</v>
      </c>
      <c r="G13" s="42">
        <v>46023</v>
      </c>
      <c r="H13" s="18" t="s">
        <v>191</v>
      </c>
      <c r="I13" s="38" t="s">
        <v>192</v>
      </c>
    </row>
    <row r="14" spans="1:9" ht="18" x14ac:dyDescent="0.35">
      <c r="A14" s="18"/>
      <c r="B14" s="36" t="s">
        <v>182</v>
      </c>
      <c r="C14" s="36" t="s">
        <v>183</v>
      </c>
      <c r="D14" s="41">
        <v>0.77170000000000005</v>
      </c>
      <c r="G14" s="42">
        <v>46023</v>
      </c>
      <c r="H14" s="18" t="s">
        <v>193</v>
      </c>
      <c r="I14" s="38" t="s">
        <v>192</v>
      </c>
    </row>
    <row r="15" spans="1:9" ht="18" x14ac:dyDescent="0.35">
      <c r="A15" s="18"/>
      <c r="B15" s="36" t="s">
        <v>184</v>
      </c>
      <c r="C15" s="36" t="s">
        <v>185</v>
      </c>
      <c r="D15" s="41">
        <v>1.22</v>
      </c>
      <c r="G15" s="42">
        <v>46082</v>
      </c>
      <c r="H15" s="18"/>
      <c r="I15" s="38"/>
    </row>
    <row r="16" spans="1:9" ht="18" x14ac:dyDescent="0.35">
      <c r="A16" s="18"/>
      <c r="B16" s="36" t="s">
        <v>186</v>
      </c>
      <c r="C16" s="36" t="s">
        <v>185</v>
      </c>
      <c r="D16" s="41">
        <v>4.6120000000000001</v>
      </c>
      <c r="G16" s="42">
        <v>46082</v>
      </c>
      <c r="H16" s="18"/>
      <c r="I16" s="39" t="s">
        <v>194</v>
      </c>
    </row>
    <row r="17" spans="1:9" ht="18" x14ac:dyDescent="0.35">
      <c r="A17" s="18"/>
      <c r="B17" s="36" t="s">
        <v>187</v>
      </c>
      <c r="C17" s="36" t="s">
        <v>188</v>
      </c>
      <c r="D17" s="41">
        <v>95.93</v>
      </c>
      <c r="G17" s="42">
        <v>44986</v>
      </c>
      <c r="H17" s="18"/>
      <c r="I17" s="39" t="s">
        <v>195</v>
      </c>
    </row>
    <row r="18" spans="1:9" ht="18" x14ac:dyDescent="0.35">
      <c r="A18" s="18"/>
      <c r="B18" s="18"/>
      <c r="C18" s="18"/>
      <c r="D18" s="18"/>
      <c r="E18" s="30"/>
      <c r="F18" s="18"/>
      <c r="G18" s="35"/>
      <c r="H18" s="18"/>
      <c r="I18" s="18"/>
    </row>
    <row r="19" spans="1:9" ht="18.75" customHeight="1" x14ac:dyDescent="0.35">
      <c r="A19" s="18"/>
      <c r="B19" s="296" t="s">
        <v>196</v>
      </c>
      <c r="C19" s="297"/>
      <c r="D19" s="297"/>
      <c r="E19" s="297"/>
      <c r="F19" s="298"/>
      <c r="G19" s="18"/>
      <c r="H19" s="18"/>
      <c r="I19" s="18"/>
    </row>
    <row r="20" spans="1:9" ht="54" x14ac:dyDescent="0.35">
      <c r="A20" s="18"/>
      <c r="B20" s="34" t="s">
        <v>197</v>
      </c>
      <c r="C20" s="34" t="s">
        <v>198</v>
      </c>
      <c r="D20" s="34" t="s">
        <v>199</v>
      </c>
      <c r="E20" s="34" t="s">
        <v>200</v>
      </c>
      <c r="F20" s="34" t="s">
        <v>201</v>
      </c>
      <c r="G20" s="18"/>
      <c r="H20" s="18"/>
      <c r="I20" s="18"/>
    </row>
    <row r="21" spans="1:9" ht="36" x14ac:dyDescent="0.35">
      <c r="A21" s="18"/>
      <c r="B21" s="43" t="s">
        <v>202</v>
      </c>
      <c r="C21" s="37"/>
      <c r="D21" s="36"/>
      <c r="E21" s="36"/>
      <c r="F21" s="36"/>
      <c r="H21" s="18" t="s">
        <v>203</v>
      </c>
      <c r="I21" s="18"/>
    </row>
    <row r="22" spans="1:9" ht="36" x14ac:dyDescent="0.35">
      <c r="A22" s="18"/>
      <c r="B22" s="36" t="s">
        <v>204</v>
      </c>
      <c r="C22" s="37">
        <v>20</v>
      </c>
      <c r="D22" s="36" t="s">
        <v>205</v>
      </c>
      <c r="E22" s="36" t="s">
        <v>206</v>
      </c>
      <c r="F22" s="36" t="s">
        <v>207</v>
      </c>
      <c r="G22" s="18"/>
      <c r="H22" s="18"/>
      <c r="I22" s="18"/>
    </row>
    <row r="23" spans="1:9" ht="36" x14ac:dyDescent="0.35">
      <c r="A23" s="18"/>
      <c r="B23" s="36" t="s">
        <v>208</v>
      </c>
      <c r="C23" s="37">
        <v>20</v>
      </c>
      <c r="D23" s="36" t="s">
        <v>209</v>
      </c>
      <c r="E23" s="36" t="s">
        <v>206</v>
      </c>
      <c r="F23" s="36" t="s">
        <v>207</v>
      </c>
      <c r="G23" s="18"/>
      <c r="H23" s="18"/>
      <c r="I23" s="18"/>
    </row>
    <row r="24" spans="1:9" ht="36" x14ac:dyDescent="0.35">
      <c r="A24" s="18"/>
      <c r="B24" s="36" t="s">
        <v>210</v>
      </c>
      <c r="C24" s="37">
        <v>20</v>
      </c>
      <c r="D24" s="36" t="s">
        <v>205</v>
      </c>
      <c r="E24" s="36" t="s">
        <v>206</v>
      </c>
      <c r="F24" s="36" t="s">
        <v>207</v>
      </c>
      <c r="G24" s="18"/>
      <c r="H24" s="18"/>
      <c r="I24" s="18"/>
    </row>
    <row r="25" spans="1:9" ht="36" x14ac:dyDescent="0.35">
      <c r="A25" s="18"/>
      <c r="B25" s="36" t="s">
        <v>82</v>
      </c>
      <c r="C25" s="37">
        <v>20</v>
      </c>
      <c r="D25" s="36" t="s">
        <v>209</v>
      </c>
      <c r="E25" s="36" t="s">
        <v>206</v>
      </c>
      <c r="F25" s="36" t="s">
        <v>207</v>
      </c>
      <c r="G25" s="18"/>
      <c r="H25" s="18"/>
      <c r="I25" s="18"/>
    </row>
    <row r="26" spans="1:9" ht="18" x14ac:dyDescent="0.35">
      <c r="A26" s="18"/>
      <c r="B26" s="36" t="s">
        <v>211</v>
      </c>
      <c r="C26" s="37">
        <v>20</v>
      </c>
      <c r="D26" s="36" t="s">
        <v>209</v>
      </c>
      <c r="E26" s="36" t="s">
        <v>206</v>
      </c>
      <c r="F26" s="36" t="s">
        <v>207</v>
      </c>
      <c r="G26" s="18"/>
      <c r="H26" s="18"/>
      <c r="I26" s="18"/>
    </row>
    <row r="27" spans="1:9" ht="18" x14ac:dyDescent="0.35">
      <c r="A27" s="18"/>
      <c r="B27" s="36" t="s">
        <v>80</v>
      </c>
      <c r="C27" s="37">
        <v>20</v>
      </c>
      <c r="D27" s="36" t="s">
        <v>209</v>
      </c>
      <c r="E27" s="36" t="s">
        <v>212</v>
      </c>
      <c r="F27" s="36" t="s">
        <v>207</v>
      </c>
      <c r="G27" s="18"/>
      <c r="H27" s="18"/>
      <c r="I27" s="18"/>
    </row>
    <row r="28" spans="1:9" ht="36" x14ac:dyDescent="0.35">
      <c r="A28" s="18"/>
      <c r="B28" s="36" t="s">
        <v>84</v>
      </c>
      <c r="C28" s="37">
        <v>20</v>
      </c>
      <c r="D28" s="36" t="s">
        <v>209</v>
      </c>
      <c r="E28" s="36" t="s">
        <v>212</v>
      </c>
      <c r="F28" s="36" t="s">
        <v>207</v>
      </c>
      <c r="G28" s="18"/>
      <c r="H28" s="18"/>
      <c r="I28" s="18"/>
    </row>
    <row r="29" spans="1:9" s="105" customFormat="1" ht="36" x14ac:dyDescent="0.35">
      <c r="A29" s="289"/>
      <c r="B29" s="36" t="s">
        <v>78</v>
      </c>
      <c r="C29" s="37">
        <v>20</v>
      </c>
      <c r="D29" s="36" t="s">
        <v>209</v>
      </c>
      <c r="E29" s="36" t="s">
        <v>206</v>
      </c>
      <c r="F29" s="36" t="s">
        <v>213</v>
      </c>
      <c r="G29" s="289"/>
      <c r="H29" s="289"/>
      <c r="I29" s="289"/>
    </row>
    <row r="30" spans="1:9" s="105" customFormat="1" ht="36" x14ac:dyDescent="0.35">
      <c r="A30" s="289"/>
      <c r="B30" s="36" t="s">
        <v>214</v>
      </c>
      <c r="C30" s="37">
        <v>20</v>
      </c>
      <c r="D30" s="36" t="s">
        <v>209</v>
      </c>
      <c r="E30" s="36" t="s">
        <v>206</v>
      </c>
      <c r="F30" s="36" t="s">
        <v>213</v>
      </c>
      <c r="G30" s="289"/>
      <c r="H30" s="289"/>
      <c r="I30" s="289"/>
    </row>
    <row r="31" spans="1:9" ht="18" x14ac:dyDescent="0.35">
      <c r="A31" s="18"/>
      <c r="B31" s="36" t="s">
        <v>215</v>
      </c>
      <c r="C31" s="37">
        <v>20</v>
      </c>
      <c r="D31" s="36" t="s">
        <v>209</v>
      </c>
      <c r="E31" s="36" t="s">
        <v>216</v>
      </c>
      <c r="F31" s="36" t="s">
        <v>207</v>
      </c>
      <c r="G31" s="18"/>
      <c r="H31" s="18"/>
      <c r="I31" s="18"/>
    </row>
    <row r="32" spans="1:9" ht="36" x14ac:dyDescent="0.35">
      <c r="A32" s="18"/>
      <c r="B32" s="36" t="s">
        <v>217</v>
      </c>
      <c r="C32" s="37">
        <v>20</v>
      </c>
      <c r="D32" s="36" t="s">
        <v>209</v>
      </c>
      <c r="E32" s="36" t="s">
        <v>212</v>
      </c>
      <c r="F32" s="36" t="s">
        <v>207</v>
      </c>
      <c r="G32" s="18"/>
      <c r="H32" s="18"/>
      <c r="I32" s="18"/>
    </row>
    <row r="33" spans="1:9" ht="36" x14ac:dyDescent="0.35">
      <c r="A33" s="18"/>
      <c r="B33" s="36" t="s">
        <v>218</v>
      </c>
      <c r="C33" s="37">
        <v>20</v>
      </c>
      <c r="D33" s="36" t="s">
        <v>209</v>
      </c>
      <c r="E33" s="36" t="s">
        <v>212</v>
      </c>
      <c r="F33" s="36" t="s">
        <v>207</v>
      </c>
      <c r="G33" s="18"/>
      <c r="H33" s="18"/>
      <c r="I33" s="18"/>
    </row>
    <row r="34" spans="1:9" ht="54" x14ac:dyDescent="0.35">
      <c r="A34" s="18"/>
      <c r="B34" s="36" t="s">
        <v>219</v>
      </c>
      <c r="C34" s="37">
        <v>25</v>
      </c>
      <c r="D34" s="36" t="s">
        <v>219</v>
      </c>
      <c r="E34" s="36" t="s">
        <v>206</v>
      </c>
      <c r="F34" s="36" t="s">
        <v>220</v>
      </c>
      <c r="G34" s="18"/>
      <c r="H34" s="18"/>
      <c r="I34" s="18"/>
    </row>
    <row r="35" spans="1:9" ht="13.8" x14ac:dyDescent="0.3">
      <c r="A35" s="29"/>
      <c r="B35" s="29"/>
      <c r="C35" s="29"/>
      <c r="D35" s="29"/>
      <c r="E35" s="29"/>
      <c r="F35" s="29"/>
      <c r="G35" s="29"/>
      <c r="H35" s="29"/>
      <c r="I35" s="29"/>
    </row>
    <row r="36" spans="1:9" ht="18.75" customHeight="1" x14ac:dyDescent="0.25">
      <c r="B36" s="385" t="s">
        <v>221</v>
      </c>
      <c r="C36" s="386"/>
      <c r="D36" s="387"/>
    </row>
    <row r="37" spans="1:9" ht="18" x14ac:dyDescent="0.25">
      <c r="B37" s="34" t="s">
        <v>176</v>
      </c>
      <c r="C37" s="34" t="s">
        <v>177</v>
      </c>
      <c r="D37" s="34" t="s">
        <v>222</v>
      </c>
    </row>
    <row r="38" spans="1:9" ht="18" x14ac:dyDescent="0.25">
      <c r="B38" s="36" t="s">
        <v>180</v>
      </c>
      <c r="C38" s="36" t="s">
        <v>181</v>
      </c>
      <c r="D38" s="37">
        <v>3.4119999999999999</v>
      </c>
    </row>
    <row r="39" spans="1:9" ht="18" x14ac:dyDescent="0.25">
      <c r="B39" s="36" t="s">
        <v>182</v>
      </c>
      <c r="C39" s="36" t="s">
        <v>183</v>
      </c>
      <c r="D39" s="37">
        <v>100</v>
      </c>
    </row>
    <row r="40" spans="1:9" ht="18" x14ac:dyDescent="0.25">
      <c r="B40" s="36" t="s">
        <v>184</v>
      </c>
      <c r="C40" s="36" t="s">
        <v>185</v>
      </c>
      <c r="D40" s="37">
        <v>91.332999999999998</v>
      </c>
    </row>
    <row r="41" spans="1:9" ht="18" x14ac:dyDescent="0.25">
      <c r="B41" s="36" t="s">
        <v>186</v>
      </c>
      <c r="C41" s="36" t="s">
        <v>185</v>
      </c>
      <c r="D41" s="37">
        <v>138.5</v>
      </c>
    </row>
    <row r="42" spans="1:9" ht="18" x14ac:dyDescent="0.25">
      <c r="B42" s="36" t="s">
        <v>187</v>
      </c>
      <c r="C42" s="36" t="s">
        <v>188</v>
      </c>
      <c r="D42" s="44">
        <v>25090</v>
      </c>
    </row>
  </sheetData>
  <sheetProtection algorithmName="SHA-512" hashValue="RfBR4IaFLx01BHyvfCcXeYx/tLbeFMc6pDj6qzu5+M0T3QIZXZ+Przj9D+yo7/wNsskiWOIyKvuhIg587GEpcw==" saltValue="NvOqtq8vtSoFVkKhIEzTVQ==" spinCount="100000" sheet="1" objects="1" scenarios="1"/>
  <mergeCells count="4">
    <mergeCell ref="B11:D11"/>
    <mergeCell ref="B3:D3"/>
    <mergeCell ref="B1:D1"/>
    <mergeCell ref="B36:D36"/>
  </mergeCells>
  <hyperlinks>
    <hyperlink ref="I16" r:id="rId1" xr:uid="{82F2B389-A0E8-402D-8F71-129756B56574}"/>
    <hyperlink ref="I14" r:id="rId2" xr:uid="{3AEC357D-B4BC-47A8-9289-5F396E7D9162}"/>
    <hyperlink ref="I13" r:id="rId3" xr:uid="{3F64804E-4184-4547-9A67-742A9EEA403F}"/>
    <hyperlink ref="I17" r:id="rId4" xr:uid="{8F8C015B-4DF8-4073-A4EB-23E89FA32B0E}"/>
  </hyperlinks>
  <pageMargins left="0.7" right="0.7" top="0.75" bottom="0.75" header="0.3" footer="0.3"/>
  <pageSetup orientation="portrait" horizontalDpi="1200" verticalDpi="1200" r:id="rId5"/>
  <drawing r:id="rId6"/>
  <legacy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D0A7-83D9-4040-B203-597AC1393D88}">
  <sheetPr>
    <tabColor theme="0" tint="-0.34998626667073579"/>
  </sheetPr>
  <dimension ref="A1:D73"/>
  <sheetViews>
    <sheetView zoomScale="70" zoomScaleNormal="70" workbookViewId="0">
      <selection activeCell="B18" sqref="B18"/>
    </sheetView>
  </sheetViews>
  <sheetFormatPr defaultColWidth="9.109375" defaultRowHeight="18" x14ac:dyDescent="0.35"/>
  <cols>
    <col min="1" max="1" width="66.88671875" style="18" bestFit="1" customWidth="1"/>
    <col min="2" max="2" width="38.109375" style="18" bestFit="1" customWidth="1"/>
    <col min="3" max="3" width="38.5546875" style="18" bestFit="1" customWidth="1"/>
    <col min="4" max="4" width="46.6640625" style="18" bestFit="1" customWidth="1"/>
    <col min="5" max="5" width="10.33203125" style="18" bestFit="1" customWidth="1"/>
    <col min="6" max="16384" width="9.109375" style="18"/>
  </cols>
  <sheetData>
    <row r="1" spans="1:4" ht="62.25" customHeight="1" x14ac:dyDescent="0.65">
      <c r="A1" s="388" t="s">
        <v>378</v>
      </c>
      <c r="B1" s="388"/>
      <c r="C1" s="388"/>
      <c r="D1" s="389"/>
    </row>
    <row r="2" spans="1:4" x14ac:dyDescent="0.35">
      <c r="A2" s="390" t="s">
        <v>223</v>
      </c>
      <c r="B2" s="390"/>
      <c r="C2" s="390"/>
      <c r="D2" s="391"/>
    </row>
    <row r="4" spans="1:4" x14ac:dyDescent="0.35">
      <c r="A4" s="19" t="s">
        <v>224</v>
      </c>
      <c r="B4" s="20" t="s">
        <v>205</v>
      </c>
      <c r="C4" s="20" t="s">
        <v>209</v>
      </c>
      <c r="D4" s="20" t="s">
        <v>225</v>
      </c>
    </row>
    <row r="5" spans="1:4" x14ac:dyDescent="0.35">
      <c r="A5" s="21" t="s">
        <v>226</v>
      </c>
      <c r="B5" s="22">
        <v>300</v>
      </c>
      <c r="C5" s="22">
        <v>300</v>
      </c>
      <c r="D5" s="23">
        <v>50</v>
      </c>
    </row>
    <row r="6" spans="1:4" x14ac:dyDescent="0.35">
      <c r="A6" s="21" t="s">
        <v>227</v>
      </c>
      <c r="B6" s="22">
        <v>350</v>
      </c>
      <c r="C6" s="22">
        <v>350</v>
      </c>
      <c r="D6" s="23">
        <v>50</v>
      </c>
    </row>
    <row r="7" spans="1:4" x14ac:dyDescent="0.35">
      <c r="A7" s="21" t="s">
        <v>228</v>
      </c>
      <c r="B7" s="22">
        <v>400</v>
      </c>
      <c r="C7" s="22">
        <v>400</v>
      </c>
      <c r="D7" s="23">
        <v>50</v>
      </c>
    </row>
    <row r="8" spans="1:4" x14ac:dyDescent="0.35">
      <c r="A8" s="21" t="s">
        <v>229</v>
      </c>
      <c r="B8" s="22">
        <v>50000</v>
      </c>
      <c r="C8" s="23">
        <v>50000</v>
      </c>
      <c r="D8" s="23"/>
    </row>
    <row r="9" spans="1:4" x14ac:dyDescent="0.35">
      <c r="A9" s="21" t="s">
        <v>230</v>
      </c>
      <c r="B9" s="22">
        <v>2500000</v>
      </c>
      <c r="C9" s="23">
        <v>2500000</v>
      </c>
      <c r="D9" s="23"/>
    </row>
    <row r="10" spans="1:4" x14ac:dyDescent="0.35">
      <c r="A10" s="24" t="s">
        <v>231</v>
      </c>
      <c r="B10" s="25">
        <v>0.65</v>
      </c>
      <c r="C10" s="26">
        <v>0.65</v>
      </c>
      <c r="D10" s="26"/>
    </row>
    <row r="11" spans="1:4" x14ac:dyDescent="0.35">
      <c r="A11" s="27"/>
      <c r="B11" s="28"/>
      <c r="C11" s="28"/>
      <c r="D11" s="28"/>
    </row>
    <row r="12" spans="1:4" x14ac:dyDescent="0.35">
      <c r="A12" s="27"/>
      <c r="B12" s="28"/>
      <c r="C12" s="28"/>
      <c r="D12" s="28"/>
    </row>
    <row r="13" spans="1:4" x14ac:dyDescent="0.35">
      <c r="A13" s="19" t="s">
        <v>232</v>
      </c>
      <c r="B13" s="20" t="s">
        <v>205</v>
      </c>
      <c r="C13" s="20" t="s">
        <v>209</v>
      </c>
      <c r="D13" s="20" t="s">
        <v>225</v>
      </c>
    </row>
    <row r="14" spans="1:4" x14ac:dyDescent="0.35">
      <c r="A14" s="21" t="s">
        <v>226</v>
      </c>
      <c r="B14" s="22">
        <v>300</v>
      </c>
      <c r="C14" s="22">
        <v>300</v>
      </c>
      <c r="D14" s="23">
        <v>50</v>
      </c>
    </row>
    <row r="15" spans="1:4" x14ac:dyDescent="0.35">
      <c r="A15" s="21" t="s">
        <v>227</v>
      </c>
      <c r="B15" s="22">
        <v>350</v>
      </c>
      <c r="C15" s="22">
        <v>350</v>
      </c>
      <c r="D15" s="23">
        <v>50</v>
      </c>
    </row>
    <row r="16" spans="1:4" x14ac:dyDescent="0.35">
      <c r="A16" s="21" t="s">
        <v>228</v>
      </c>
      <c r="B16" s="22">
        <v>400</v>
      </c>
      <c r="C16" s="22">
        <v>400</v>
      </c>
      <c r="D16" s="23">
        <v>50</v>
      </c>
    </row>
    <row r="17" spans="1:4" x14ac:dyDescent="0.35">
      <c r="A17" s="21" t="s">
        <v>229</v>
      </c>
      <c r="B17" s="22">
        <v>50000</v>
      </c>
      <c r="C17" s="22">
        <v>50000</v>
      </c>
      <c r="D17" s="23"/>
    </row>
    <row r="18" spans="1:4" x14ac:dyDescent="0.35">
      <c r="A18" s="21" t="s">
        <v>230</v>
      </c>
      <c r="B18" s="22">
        <v>2500000</v>
      </c>
      <c r="C18" s="22">
        <v>2500000</v>
      </c>
      <c r="D18" s="23"/>
    </row>
    <row r="19" spans="1:4" x14ac:dyDescent="0.35">
      <c r="A19" s="24" t="s">
        <v>233</v>
      </c>
      <c r="B19" s="25">
        <v>0.65</v>
      </c>
      <c r="C19" s="26">
        <v>0.65</v>
      </c>
      <c r="D19" s="26"/>
    </row>
    <row r="20" spans="1:4" x14ac:dyDescent="0.35">
      <c r="A20" s="27"/>
      <c r="B20" s="28"/>
      <c r="C20" s="28"/>
      <c r="D20" s="28"/>
    </row>
    <row r="21" spans="1:4" x14ac:dyDescent="0.35">
      <c r="A21" s="27"/>
      <c r="B21" s="28"/>
      <c r="C21" s="28"/>
      <c r="D21" s="28"/>
    </row>
    <row r="22" spans="1:4" x14ac:dyDescent="0.35">
      <c r="A22" s="19" t="s">
        <v>234</v>
      </c>
      <c r="B22" s="20" t="s">
        <v>205</v>
      </c>
      <c r="C22" s="20" t="s">
        <v>209</v>
      </c>
      <c r="D22" s="28"/>
    </row>
    <row r="23" spans="1:4" x14ac:dyDescent="0.35">
      <c r="A23" s="21" t="s">
        <v>226</v>
      </c>
      <c r="B23" s="22">
        <v>400</v>
      </c>
      <c r="C23" s="22">
        <v>400</v>
      </c>
      <c r="D23" s="28"/>
    </row>
    <row r="24" spans="1:4" x14ac:dyDescent="0.35">
      <c r="A24" s="21" t="s">
        <v>227</v>
      </c>
      <c r="B24" s="22">
        <v>450</v>
      </c>
      <c r="C24" s="22">
        <v>450</v>
      </c>
      <c r="D24" s="28"/>
    </row>
    <row r="25" spans="1:4" x14ac:dyDescent="0.35">
      <c r="A25" s="21" t="s">
        <v>228</v>
      </c>
      <c r="B25" s="22">
        <v>500</v>
      </c>
      <c r="C25" s="22">
        <v>500</v>
      </c>
      <c r="D25" s="28"/>
    </row>
    <row r="26" spans="1:4" x14ac:dyDescent="0.35">
      <c r="A26" s="21" t="s">
        <v>229</v>
      </c>
      <c r="B26" s="22">
        <v>50000</v>
      </c>
      <c r="C26" s="22">
        <v>50000</v>
      </c>
      <c r="D26" s="28"/>
    </row>
    <row r="27" spans="1:4" x14ac:dyDescent="0.35">
      <c r="A27" s="21" t="s">
        <v>230</v>
      </c>
      <c r="B27" s="22">
        <v>3000000</v>
      </c>
      <c r="C27" s="22">
        <v>3000000</v>
      </c>
      <c r="D27" s="28"/>
    </row>
    <row r="28" spans="1:4" x14ac:dyDescent="0.35">
      <c r="A28" s="24" t="s">
        <v>231</v>
      </c>
      <c r="B28" s="25">
        <v>0.8</v>
      </c>
      <c r="C28" s="26">
        <v>0.8</v>
      </c>
      <c r="D28" s="28"/>
    </row>
    <row r="29" spans="1:4" x14ac:dyDescent="0.35">
      <c r="A29" s="27"/>
      <c r="B29" s="28"/>
      <c r="C29" s="28"/>
      <c r="D29" s="28"/>
    </row>
    <row r="30" spans="1:4" x14ac:dyDescent="0.35">
      <c r="A30" s="27"/>
      <c r="B30" s="28"/>
      <c r="C30" s="28"/>
      <c r="D30" s="28"/>
    </row>
    <row r="31" spans="1:4" x14ac:dyDescent="0.35">
      <c r="A31" s="19" t="s">
        <v>235</v>
      </c>
      <c r="B31" s="20" t="s">
        <v>205</v>
      </c>
      <c r="C31" s="20" t="s">
        <v>209</v>
      </c>
      <c r="D31" s="20" t="s">
        <v>236</v>
      </c>
    </row>
    <row r="32" spans="1:4" x14ac:dyDescent="0.35">
      <c r="A32" s="21" t="s">
        <v>226</v>
      </c>
      <c r="B32" s="22">
        <v>450</v>
      </c>
      <c r="C32" s="22">
        <v>450</v>
      </c>
      <c r="D32" s="23">
        <v>50</v>
      </c>
    </row>
    <row r="33" spans="1:4" x14ac:dyDescent="0.35">
      <c r="A33" s="21" t="s">
        <v>227</v>
      </c>
      <c r="B33" s="22">
        <v>500</v>
      </c>
      <c r="C33" s="22">
        <v>500</v>
      </c>
      <c r="D33" s="23">
        <v>50</v>
      </c>
    </row>
    <row r="34" spans="1:4" x14ac:dyDescent="0.35">
      <c r="A34" s="21" t="s">
        <v>228</v>
      </c>
      <c r="B34" s="22">
        <v>550</v>
      </c>
      <c r="C34" s="22">
        <v>550</v>
      </c>
      <c r="D34" s="23">
        <v>50</v>
      </c>
    </row>
    <row r="35" spans="1:4" x14ac:dyDescent="0.35">
      <c r="A35" s="21" t="s">
        <v>229</v>
      </c>
      <c r="B35" s="22">
        <v>50000</v>
      </c>
      <c r="C35" s="22">
        <v>50000</v>
      </c>
      <c r="D35" s="23"/>
    </row>
    <row r="36" spans="1:4" x14ac:dyDescent="0.35">
      <c r="A36" s="21" t="s">
        <v>230</v>
      </c>
      <c r="B36" s="22">
        <v>3000000</v>
      </c>
      <c r="C36" s="22">
        <v>3000000</v>
      </c>
      <c r="D36" s="23"/>
    </row>
    <row r="37" spans="1:4" x14ac:dyDescent="0.35">
      <c r="A37" s="24" t="s">
        <v>231</v>
      </c>
      <c r="B37" s="25">
        <v>0.9</v>
      </c>
      <c r="C37" s="26">
        <v>0.9</v>
      </c>
      <c r="D37" s="26"/>
    </row>
    <row r="38" spans="1:4" x14ac:dyDescent="0.35">
      <c r="A38" s="27"/>
      <c r="B38" s="28"/>
      <c r="C38" s="28"/>
      <c r="D38" s="28"/>
    </row>
    <row r="39" spans="1:4" x14ac:dyDescent="0.35">
      <c r="A39" s="27"/>
      <c r="B39" s="28"/>
      <c r="C39" s="28"/>
      <c r="D39" s="28"/>
    </row>
    <row r="40" spans="1:4" x14ac:dyDescent="0.35">
      <c r="A40" s="19" t="s">
        <v>237</v>
      </c>
      <c r="B40" s="20" t="s">
        <v>238</v>
      </c>
      <c r="C40" s="20" t="s">
        <v>239</v>
      </c>
      <c r="D40" s="20" t="s">
        <v>225</v>
      </c>
    </row>
    <row r="41" spans="1:4" x14ac:dyDescent="0.35">
      <c r="A41" s="24" t="s">
        <v>240</v>
      </c>
      <c r="B41" s="22">
        <v>3000</v>
      </c>
      <c r="C41" s="22">
        <v>600</v>
      </c>
      <c r="D41" s="23">
        <v>50</v>
      </c>
    </row>
    <row r="42" spans="1:4" x14ac:dyDescent="0.35">
      <c r="A42" s="24" t="s">
        <v>241</v>
      </c>
      <c r="B42" s="22">
        <v>3500</v>
      </c>
      <c r="C42" s="22">
        <v>750</v>
      </c>
      <c r="D42" s="23">
        <v>50</v>
      </c>
    </row>
    <row r="43" spans="1:4" x14ac:dyDescent="0.35">
      <c r="A43" s="24" t="s">
        <v>229</v>
      </c>
      <c r="B43" s="22">
        <f>B8</f>
        <v>50000</v>
      </c>
      <c r="C43" s="22">
        <f>C8</f>
        <v>50000</v>
      </c>
      <c r="D43" s="23"/>
    </row>
    <row r="44" spans="1:4" x14ac:dyDescent="0.35">
      <c r="A44" s="24" t="s">
        <v>230</v>
      </c>
      <c r="B44" s="22">
        <v>1000000</v>
      </c>
      <c r="C44" s="22">
        <v>1000000</v>
      </c>
      <c r="D44" s="23"/>
    </row>
    <row r="45" spans="1:4" x14ac:dyDescent="0.35">
      <c r="A45" s="24" t="s">
        <v>231</v>
      </c>
      <c r="B45" s="25">
        <v>0.65</v>
      </c>
      <c r="C45" s="26">
        <v>0.65</v>
      </c>
      <c r="D45" s="26"/>
    </row>
    <row r="46" spans="1:4" x14ac:dyDescent="0.35">
      <c r="A46" s="27"/>
      <c r="B46" s="28"/>
      <c r="C46" s="28"/>
      <c r="D46" s="28"/>
    </row>
    <row r="47" spans="1:4" x14ac:dyDescent="0.35">
      <c r="A47" s="27"/>
      <c r="B47" s="28"/>
      <c r="C47" s="28"/>
      <c r="D47" s="28"/>
    </row>
    <row r="48" spans="1:4" x14ac:dyDescent="0.35">
      <c r="A48" s="19" t="s">
        <v>242</v>
      </c>
      <c r="B48" s="20" t="s">
        <v>238</v>
      </c>
      <c r="C48" s="20" t="s">
        <v>239</v>
      </c>
      <c r="D48" s="28"/>
    </row>
    <row r="49" spans="1:4" x14ac:dyDescent="0.35">
      <c r="A49" s="24" t="s">
        <v>240</v>
      </c>
      <c r="B49" s="22">
        <v>3000</v>
      </c>
      <c r="C49" s="22">
        <v>600</v>
      </c>
      <c r="D49" s="28"/>
    </row>
    <row r="50" spans="1:4" x14ac:dyDescent="0.35">
      <c r="A50" s="24" t="s">
        <v>241</v>
      </c>
      <c r="B50" s="22">
        <v>3500</v>
      </c>
      <c r="C50" s="22">
        <v>750</v>
      </c>
      <c r="D50" s="28"/>
    </row>
    <row r="51" spans="1:4" x14ac:dyDescent="0.35">
      <c r="A51" s="24" t="s">
        <v>229</v>
      </c>
      <c r="B51" s="22">
        <v>50000</v>
      </c>
      <c r="C51" s="22">
        <v>50000</v>
      </c>
      <c r="D51" s="28"/>
    </row>
    <row r="52" spans="1:4" x14ac:dyDescent="0.35">
      <c r="A52" s="24" t="s">
        <v>230</v>
      </c>
      <c r="B52" s="22">
        <v>1000000</v>
      </c>
      <c r="C52" s="22">
        <v>1000000</v>
      </c>
      <c r="D52" s="28"/>
    </row>
    <row r="53" spans="1:4" x14ac:dyDescent="0.35">
      <c r="A53" s="24" t="s">
        <v>231</v>
      </c>
      <c r="B53" s="25">
        <v>0.8</v>
      </c>
      <c r="C53" s="26">
        <v>0.8</v>
      </c>
      <c r="D53" s="28"/>
    </row>
    <row r="54" spans="1:4" x14ac:dyDescent="0.35">
      <c r="A54" s="27"/>
      <c r="B54" s="28"/>
      <c r="C54" s="28"/>
      <c r="D54" s="28"/>
    </row>
    <row r="55" spans="1:4" x14ac:dyDescent="0.35">
      <c r="A55" s="27"/>
      <c r="B55" s="28"/>
      <c r="C55" s="28"/>
      <c r="D55" s="28"/>
    </row>
    <row r="56" spans="1:4" x14ac:dyDescent="0.35">
      <c r="A56" s="19" t="s">
        <v>243</v>
      </c>
      <c r="B56" s="20" t="s">
        <v>238</v>
      </c>
      <c r="C56" s="20" t="s">
        <v>239</v>
      </c>
      <c r="D56" s="20" t="s">
        <v>236</v>
      </c>
    </row>
    <row r="57" spans="1:4" x14ac:dyDescent="0.35">
      <c r="A57" s="24" t="s">
        <v>240</v>
      </c>
      <c r="B57" s="22">
        <v>3000</v>
      </c>
      <c r="C57" s="22">
        <v>600</v>
      </c>
      <c r="D57" s="23">
        <v>50</v>
      </c>
    </row>
    <row r="58" spans="1:4" x14ac:dyDescent="0.35">
      <c r="A58" s="24" t="s">
        <v>241</v>
      </c>
      <c r="B58" s="22">
        <v>3500</v>
      </c>
      <c r="C58" s="22">
        <v>750</v>
      </c>
      <c r="D58" s="23">
        <v>50</v>
      </c>
    </row>
    <row r="59" spans="1:4" x14ac:dyDescent="0.35">
      <c r="A59" s="24" t="s">
        <v>229</v>
      </c>
      <c r="B59" s="22">
        <v>50000</v>
      </c>
      <c r="C59" s="22">
        <v>50000</v>
      </c>
      <c r="D59" s="23"/>
    </row>
    <row r="60" spans="1:4" x14ac:dyDescent="0.35">
      <c r="A60" s="24" t="s">
        <v>230</v>
      </c>
      <c r="B60" s="22">
        <v>1000000</v>
      </c>
      <c r="C60" s="22">
        <v>1000000</v>
      </c>
      <c r="D60" s="23"/>
    </row>
    <row r="61" spans="1:4" x14ac:dyDescent="0.35">
      <c r="A61" s="24" t="s">
        <v>231</v>
      </c>
      <c r="B61" s="25">
        <v>0.9</v>
      </c>
      <c r="C61" s="26">
        <v>0.9</v>
      </c>
      <c r="D61" s="26"/>
    </row>
    <row r="62" spans="1:4" x14ac:dyDescent="0.35">
      <c r="B62" s="28"/>
      <c r="C62" s="28"/>
      <c r="D62" s="28"/>
    </row>
    <row r="63" spans="1:4" x14ac:dyDescent="0.35">
      <c r="B63" s="28"/>
      <c r="C63" s="28"/>
      <c r="D63" s="28"/>
    </row>
    <row r="64" spans="1:4" x14ac:dyDescent="0.35">
      <c r="A64" s="19" t="s">
        <v>244</v>
      </c>
      <c r="B64" s="20" t="s">
        <v>245</v>
      </c>
    </row>
    <row r="65" spans="1:2" x14ac:dyDescent="0.35">
      <c r="A65" s="24" t="s">
        <v>229</v>
      </c>
      <c r="B65" s="22">
        <v>3000</v>
      </c>
    </row>
    <row r="66" spans="1:2" x14ac:dyDescent="0.35">
      <c r="A66" s="24" t="s">
        <v>230</v>
      </c>
      <c r="B66" s="22">
        <v>20000</v>
      </c>
    </row>
    <row r="67" spans="1:2" x14ac:dyDescent="0.35">
      <c r="A67" s="24" t="s">
        <v>231</v>
      </c>
      <c r="B67" s="25">
        <v>0.3</v>
      </c>
    </row>
    <row r="68" spans="1:2" x14ac:dyDescent="0.35">
      <c r="A68" s="24" t="s">
        <v>246</v>
      </c>
      <c r="B68" s="22">
        <v>10000</v>
      </c>
    </row>
    <row r="71" spans="1:2" x14ac:dyDescent="0.35">
      <c r="A71" s="19" t="s">
        <v>247</v>
      </c>
      <c r="B71" s="20" t="s">
        <v>248</v>
      </c>
    </row>
    <row r="72" spans="1:2" x14ac:dyDescent="0.35">
      <c r="A72" s="24" t="s">
        <v>249</v>
      </c>
      <c r="B72" s="22" t="s">
        <v>367</v>
      </c>
    </row>
    <row r="73" spans="1:2" x14ac:dyDescent="0.35">
      <c r="A73" s="24" t="s">
        <v>250</v>
      </c>
      <c r="B73" s="22" t="s">
        <v>367</v>
      </c>
    </row>
  </sheetData>
  <sheetProtection algorithmName="SHA-512" hashValue="iAG0nMFtJGuDqQB4QU73r192BQfnNxLiXG++npOgy7tiU60Ek9QYTaLzNoE+TGRWIIQtQ7PyAZrgqXomg/Vzpw==" saltValue="JzBPzrIHNrSTGib55j7CDQ==" spinCount="100000" sheet="1" objects="1" scenarios="1"/>
  <mergeCells count="2">
    <mergeCell ref="A1:D1"/>
    <mergeCell ref="A2:D2"/>
  </mergeCells>
  <phoneticPr fontId="6" type="noConversion"/>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36D31-3CF6-4B62-8544-55CEE7D47A3C}">
  <dimension ref="A1:F19"/>
  <sheetViews>
    <sheetView zoomScale="70" zoomScaleNormal="70" workbookViewId="0">
      <selection activeCell="D15" sqref="D15"/>
    </sheetView>
  </sheetViews>
  <sheetFormatPr defaultColWidth="8.6640625" defaultRowHeight="13.2" x14ac:dyDescent="0.25"/>
  <cols>
    <col min="1" max="1" width="5.6640625" customWidth="1"/>
    <col min="2" max="2" width="16.6640625" customWidth="1"/>
    <col min="3" max="3" width="25.6640625" customWidth="1"/>
    <col min="4" max="4" width="174.6640625" customWidth="1"/>
    <col min="5" max="6" width="15.6640625" customWidth="1"/>
  </cols>
  <sheetData>
    <row r="1" spans="1:6" ht="60" customHeight="1" x14ac:dyDescent="0.45">
      <c r="A1" s="392" t="s">
        <v>380</v>
      </c>
      <c r="B1" s="393"/>
      <c r="C1" s="393"/>
      <c r="D1" s="393"/>
      <c r="E1" s="393"/>
      <c r="F1" s="393"/>
    </row>
    <row r="2" spans="1:6" ht="17.399999999999999" x14ac:dyDescent="0.3">
      <c r="A2" s="30"/>
      <c r="B2" s="30"/>
      <c r="C2" s="30"/>
      <c r="D2" s="30"/>
    </row>
    <row r="3" spans="1:6" ht="18" x14ac:dyDescent="0.25">
      <c r="A3" s="34" t="s">
        <v>251</v>
      </c>
      <c r="B3" s="34" t="s">
        <v>252</v>
      </c>
      <c r="C3" s="34" t="s">
        <v>253</v>
      </c>
      <c r="D3" s="34" t="s">
        <v>3</v>
      </c>
      <c r="E3" s="34" t="s">
        <v>254</v>
      </c>
      <c r="F3" s="34" t="s">
        <v>255</v>
      </c>
    </row>
    <row r="4" spans="1:6" ht="18" x14ac:dyDescent="0.25">
      <c r="A4" s="34"/>
      <c r="B4" s="34"/>
      <c r="C4" s="34"/>
      <c r="D4" s="34"/>
      <c r="E4" s="34"/>
      <c r="F4" s="34"/>
    </row>
    <row r="5" spans="1:6" ht="18" x14ac:dyDescent="0.25">
      <c r="A5" s="103" t="s">
        <v>377</v>
      </c>
      <c r="B5" s="104">
        <v>46293</v>
      </c>
      <c r="C5" s="104" t="s">
        <v>257</v>
      </c>
      <c r="D5" s="37" t="s">
        <v>386</v>
      </c>
      <c r="E5" s="37" t="s">
        <v>382</v>
      </c>
      <c r="F5" s="37" t="s">
        <v>259</v>
      </c>
    </row>
    <row r="6" spans="1:6" ht="18" x14ac:dyDescent="0.25">
      <c r="A6" s="103" t="s">
        <v>376</v>
      </c>
      <c r="B6" s="104">
        <v>46293</v>
      </c>
      <c r="C6" s="104" t="s">
        <v>385</v>
      </c>
      <c r="D6" s="37" t="s">
        <v>381</v>
      </c>
      <c r="E6" s="37" t="s">
        <v>382</v>
      </c>
      <c r="F6" s="37" t="s">
        <v>259</v>
      </c>
    </row>
    <row r="7" spans="1:6" ht="18" x14ac:dyDescent="0.25">
      <c r="A7" s="103" t="s">
        <v>368</v>
      </c>
      <c r="B7" s="104">
        <v>46288</v>
      </c>
      <c r="C7" s="104" t="s">
        <v>257</v>
      </c>
      <c r="D7" s="37" t="s">
        <v>387</v>
      </c>
      <c r="E7" s="37" t="s">
        <v>258</v>
      </c>
      <c r="F7" s="37" t="s">
        <v>259</v>
      </c>
    </row>
    <row r="8" spans="1:6" ht="43.5" customHeight="1" x14ac:dyDescent="0.25">
      <c r="A8" s="103" t="s">
        <v>369</v>
      </c>
      <c r="B8" s="104">
        <v>46288</v>
      </c>
      <c r="C8" s="104" t="s">
        <v>257</v>
      </c>
      <c r="D8" s="37" t="s">
        <v>375</v>
      </c>
      <c r="E8" s="37" t="s">
        <v>258</v>
      </c>
      <c r="F8" s="37" t="s">
        <v>259</v>
      </c>
    </row>
    <row r="9" spans="1:6" ht="18" x14ac:dyDescent="0.25">
      <c r="A9" s="103" t="s">
        <v>256</v>
      </c>
      <c r="B9" s="104">
        <v>46288</v>
      </c>
      <c r="C9" s="104" t="s">
        <v>257</v>
      </c>
      <c r="D9" s="37" t="s">
        <v>374</v>
      </c>
      <c r="E9" s="37" t="s">
        <v>258</v>
      </c>
      <c r="F9" s="37" t="s">
        <v>259</v>
      </c>
    </row>
    <row r="10" spans="1:6" s="105" customFormat="1" ht="36" x14ac:dyDescent="0.25">
      <c r="A10" s="103" t="s">
        <v>260</v>
      </c>
      <c r="B10" s="104">
        <v>46288</v>
      </c>
      <c r="C10" s="104" t="s">
        <v>257</v>
      </c>
      <c r="D10" s="37" t="s">
        <v>373</v>
      </c>
      <c r="E10" s="37" t="s">
        <v>258</v>
      </c>
      <c r="F10" s="37" t="s">
        <v>259</v>
      </c>
    </row>
    <row r="11" spans="1:6" s="105" customFormat="1" ht="18" x14ac:dyDescent="0.25">
      <c r="A11" s="103" t="s">
        <v>261</v>
      </c>
      <c r="B11" s="104">
        <v>46288</v>
      </c>
      <c r="C11" s="104" t="s">
        <v>257</v>
      </c>
      <c r="D11" s="37" t="s">
        <v>372</v>
      </c>
      <c r="E11" s="37" t="s">
        <v>258</v>
      </c>
      <c r="F11" s="37" t="s">
        <v>259</v>
      </c>
    </row>
    <row r="12" spans="1:6" s="105" customFormat="1" ht="40.5" customHeight="1" x14ac:dyDescent="0.25">
      <c r="A12" s="103" t="s">
        <v>262</v>
      </c>
      <c r="B12" s="104">
        <v>46288</v>
      </c>
      <c r="C12" s="104" t="s">
        <v>257</v>
      </c>
      <c r="D12" s="37" t="s">
        <v>264</v>
      </c>
      <c r="E12" s="37" t="s">
        <v>258</v>
      </c>
      <c r="F12" s="37" t="s">
        <v>259</v>
      </c>
    </row>
    <row r="13" spans="1:6" s="105" customFormat="1" ht="40.5" customHeight="1" x14ac:dyDescent="0.25">
      <c r="A13" s="103" t="s">
        <v>263</v>
      </c>
      <c r="B13" s="104">
        <v>46288</v>
      </c>
      <c r="C13" s="104" t="s">
        <v>385</v>
      </c>
      <c r="D13" s="37" t="s">
        <v>379</v>
      </c>
      <c r="E13" s="37" t="s">
        <v>258</v>
      </c>
      <c r="F13" s="37" t="s">
        <v>259</v>
      </c>
    </row>
    <row r="14" spans="1:6" s="105" customFormat="1" ht="18" x14ac:dyDescent="0.25">
      <c r="A14" s="103" t="s">
        <v>265</v>
      </c>
      <c r="B14" s="104">
        <v>46286</v>
      </c>
      <c r="C14" s="104" t="s">
        <v>385</v>
      </c>
      <c r="D14" s="37" t="s">
        <v>370</v>
      </c>
      <c r="E14" s="37" t="s">
        <v>258</v>
      </c>
      <c r="F14" s="37" t="s">
        <v>259</v>
      </c>
    </row>
    <row r="15" spans="1:6" s="105" customFormat="1" ht="18" x14ac:dyDescent="0.25">
      <c r="A15" s="103" t="s">
        <v>266</v>
      </c>
      <c r="B15" s="104">
        <v>46284</v>
      </c>
      <c r="C15" s="104" t="s">
        <v>267</v>
      </c>
      <c r="D15" s="37" t="s">
        <v>371</v>
      </c>
      <c r="E15" s="37" t="s">
        <v>258</v>
      </c>
      <c r="F15" s="37" t="s">
        <v>259</v>
      </c>
    </row>
    <row r="16" spans="1:6" s="105" customFormat="1" ht="18" x14ac:dyDescent="0.25">
      <c r="A16" s="103" t="s">
        <v>268</v>
      </c>
      <c r="B16" s="104">
        <v>46284</v>
      </c>
      <c r="C16" s="104" t="s">
        <v>257</v>
      </c>
      <c r="D16" s="37" t="s">
        <v>269</v>
      </c>
      <c r="E16" s="37" t="s">
        <v>258</v>
      </c>
      <c r="F16" s="37" t="s">
        <v>259</v>
      </c>
    </row>
    <row r="17" spans="1:6" ht="18" x14ac:dyDescent="0.25">
      <c r="A17" s="103" t="s">
        <v>270</v>
      </c>
      <c r="B17" s="104">
        <v>46276</v>
      </c>
      <c r="C17" s="104" t="s">
        <v>271</v>
      </c>
      <c r="D17" s="37" t="s">
        <v>272</v>
      </c>
      <c r="E17" s="37" t="s">
        <v>273</v>
      </c>
      <c r="F17" s="37" t="s">
        <v>259</v>
      </c>
    </row>
    <row r="18" spans="1:6" ht="18" x14ac:dyDescent="0.25">
      <c r="A18" s="103" t="s">
        <v>274</v>
      </c>
      <c r="B18" s="104">
        <v>46276</v>
      </c>
      <c r="C18" s="104" t="s">
        <v>275</v>
      </c>
      <c r="D18" s="37" t="s">
        <v>276</v>
      </c>
      <c r="E18" s="37" t="s">
        <v>273</v>
      </c>
      <c r="F18" s="37" t="s">
        <v>277</v>
      </c>
    </row>
    <row r="19" spans="1:6" ht="36" x14ac:dyDescent="0.25">
      <c r="A19" s="103" t="s">
        <v>278</v>
      </c>
      <c r="B19" s="104">
        <v>46276</v>
      </c>
      <c r="C19" s="37" t="s">
        <v>279</v>
      </c>
      <c r="D19" s="37" t="s">
        <v>280</v>
      </c>
      <c r="E19" s="37" t="s">
        <v>281</v>
      </c>
      <c r="F19" s="37" t="s">
        <v>282</v>
      </c>
    </row>
  </sheetData>
  <sheetProtection algorithmName="SHA-512" hashValue="UxMiK/abQY3xJOsMIqb48AVaLoC1T6QIGeNu2P3h/jELjHJ5pRVSZKVZxElUU8Cqefu4tweMUXY+m2rUvUg59A==" saltValue="PsG6YPsKTVJyMRTeHKqurQ==" spinCount="100000" sheet="1" objects="1" scenarios="1"/>
  <mergeCells count="1">
    <mergeCell ref="A1:F1"/>
  </mergeCells>
  <phoneticPr fontId="68"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34B9D-D6B0-4F5B-B19D-5A882004F2F3}">
  <sheetPr>
    <tabColor theme="3" tint="0.249977111117893"/>
  </sheetPr>
  <dimension ref="A3:H113"/>
  <sheetViews>
    <sheetView zoomScale="70" zoomScaleNormal="70" workbookViewId="0">
      <selection activeCell="B1" sqref="B1"/>
    </sheetView>
  </sheetViews>
  <sheetFormatPr defaultColWidth="8.6640625" defaultRowHeight="13.2" x14ac:dyDescent="0.25"/>
  <cols>
    <col min="1" max="1" width="6" customWidth="1"/>
    <col min="2" max="2" width="49.5546875" bestFit="1" customWidth="1"/>
    <col min="3" max="3" width="51.6640625" bestFit="1" customWidth="1"/>
  </cols>
  <sheetData>
    <row r="3" spans="2:2" ht="13.8" x14ac:dyDescent="0.3">
      <c r="B3" s="97" t="s">
        <v>283</v>
      </c>
    </row>
    <row r="4" spans="2:2" ht="13.8" x14ac:dyDescent="0.3">
      <c r="B4" s="98" t="s">
        <v>284</v>
      </c>
    </row>
    <row r="5" spans="2:2" ht="13.8" x14ac:dyDescent="0.3">
      <c r="B5" s="98" t="s">
        <v>285</v>
      </c>
    </row>
    <row r="6" spans="2:2" ht="13.8" x14ac:dyDescent="0.3">
      <c r="B6" s="98" t="s">
        <v>53</v>
      </c>
    </row>
    <row r="7" spans="2:2" ht="13.8" x14ac:dyDescent="0.3">
      <c r="B7" s="98" t="s">
        <v>286</v>
      </c>
    </row>
    <row r="8" spans="2:2" ht="13.8" x14ac:dyDescent="0.3">
      <c r="B8" s="29"/>
    </row>
    <row r="9" spans="2:2" ht="13.8" x14ac:dyDescent="0.3">
      <c r="B9" s="97" t="s">
        <v>287</v>
      </c>
    </row>
    <row r="10" spans="2:2" ht="13.8" x14ac:dyDescent="0.3">
      <c r="B10" s="98">
        <v>0</v>
      </c>
    </row>
    <row r="11" spans="2:2" ht="13.8" x14ac:dyDescent="0.3">
      <c r="B11" s="98">
        <v>1</v>
      </c>
    </row>
    <row r="12" spans="2:2" ht="13.8" x14ac:dyDescent="0.3">
      <c r="B12" s="98">
        <v>2</v>
      </c>
    </row>
    <row r="13" spans="2:2" ht="13.8" x14ac:dyDescent="0.3">
      <c r="B13" s="98">
        <v>3</v>
      </c>
    </row>
    <row r="14" spans="2:2" ht="13.8" x14ac:dyDescent="0.3">
      <c r="B14" s="98">
        <v>4</v>
      </c>
    </row>
    <row r="15" spans="2:2" ht="13.8" x14ac:dyDescent="0.3">
      <c r="B15" s="29"/>
    </row>
    <row r="16" spans="2:2" ht="13.8" x14ac:dyDescent="0.3">
      <c r="B16" s="97" t="s">
        <v>288</v>
      </c>
    </row>
    <row r="17" spans="2:3" ht="13.8" x14ac:dyDescent="0.3">
      <c r="B17" s="98" t="s">
        <v>49</v>
      </c>
    </row>
    <row r="18" spans="2:3" ht="13.8" x14ac:dyDescent="0.3">
      <c r="B18" s="98" t="s">
        <v>289</v>
      </c>
    </row>
    <row r="19" spans="2:3" ht="13.8" x14ac:dyDescent="0.3">
      <c r="B19" s="98" t="s">
        <v>290</v>
      </c>
    </row>
    <row r="20" spans="2:3" ht="13.8" x14ac:dyDescent="0.3">
      <c r="B20" s="98" t="s">
        <v>291</v>
      </c>
    </row>
    <row r="21" spans="2:3" ht="13.8" x14ac:dyDescent="0.3">
      <c r="B21" s="98" t="s">
        <v>292</v>
      </c>
    </row>
    <row r="22" spans="2:3" ht="13.8" x14ac:dyDescent="0.3">
      <c r="B22" s="29"/>
    </row>
    <row r="23" spans="2:3" ht="13.8" x14ac:dyDescent="0.3">
      <c r="B23" s="97" t="s">
        <v>293</v>
      </c>
    </row>
    <row r="24" spans="2:3" ht="13.8" x14ac:dyDescent="0.3">
      <c r="B24" s="45">
        <v>3000</v>
      </c>
    </row>
    <row r="25" spans="2:3" ht="13.8" x14ac:dyDescent="0.3">
      <c r="B25" s="98" t="b">
        <f>AND(
    'User Inputs'!$F$10=1,
    'User Inputs'!$B$34="Mechanical Insulation",
    OR(
        'User Inputs'!$B$10='Dev. Notes'!$B$17,
        'User Inputs'!$B$10='Dev. Notes'!$B$18,
        'User Inputs'!$B$10='Dev. Notes'!$B$19,
        'User Inputs'!$B$10='Dev. Notes'!$B$20,
        'User Inputs'!$B$10='Dev. Notes'!$B$21
    ),
    OR(
        'User Inputs'!$B$10='Dev. Notes'!$B$17,
        'User Inputs'!$H$10='Dev. Notes'!$B$4,
        'User Inputs'!$H$10=""
    )
)</f>
        <v>0</v>
      </c>
    </row>
    <row r="27" spans="2:3" ht="13.8" x14ac:dyDescent="0.3">
      <c r="B27" s="97" t="s">
        <v>103</v>
      </c>
    </row>
    <row r="28" spans="2:3" ht="13.8" x14ac:dyDescent="0.3">
      <c r="B28" s="98" t="s">
        <v>294</v>
      </c>
    </row>
    <row r="29" spans="2:3" ht="13.8" x14ac:dyDescent="0.3">
      <c r="B29" s="98" t="s">
        <v>104</v>
      </c>
    </row>
    <row r="30" spans="2:3" ht="13.8" x14ac:dyDescent="0.3">
      <c r="B30" s="29"/>
    </row>
    <row r="31" spans="2:3" ht="13.8" x14ac:dyDescent="0.3">
      <c r="B31" s="394" t="s">
        <v>295</v>
      </c>
      <c r="C31" s="395"/>
    </row>
    <row r="32" spans="2:3" ht="13.8" x14ac:dyDescent="0.3">
      <c r="B32" s="99" t="s">
        <v>296</v>
      </c>
      <c r="C32" s="99" t="s">
        <v>297</v>
      </c>
    </row>
    <row r="33" spans="2:3" ht="13.8" x14ac:dyDescent="0.3">
      <c r="B33" s="98" t="s">
        <v>298</v>
      </c>
      <c r="C33" s="98" t="str" cm="1">
        <f t="array" ref="C33">_xlfn.SWITCH(
'User Inputs'!$B$10,
$B$18,'MEA Incentives'!$A$40,
$B$19,'MEA Incentives'!$A$48,
$B$20,'MEA Incentives'!$A$56,
$B$21,'MEA Incentives'!$A$56,
""
)</f>
        <v/>
      </c>
    </row>
    <row r="34" spans="2:3" ht="13.8" x14ac:dyDescent="0.3">
      <c r="B34" s="98" t="s">
        <v>299</v>
      </c>
      <c r="C34" s="98">
        <f>IF(
    $C$33="",
    0,
    IFERROR(
        MATCH($C$33,'MEA Incentives'!$A$1:$A$61,0),
        0
    )
)</f>
        <v>0</v>
      </c>
    </row>
    <row r="35" spans="2:3" ht="13.8" x14ac:dyDescent="0.3">
      <c r="B35" s="98" t="s">
        <v>300</v>
      </c>
      <c r="C35" s="98" cm="1">
        <f t="array" ref="C35">IFERROR(
_xlfn.SWITCH(
'User Inputs'!$D$58,
$B$28,2,
$B$29,3,
0
),
0
)</f>
        <v>0</v>
      </c>
    </row>
    <row r="36" spans="2:3" ht="13.8" x14ac:dyDescent="0.3">
      <c r="B36" s="98" t="s">
        <v>301</v>
      </c>
      <c r="C36" s="98" cm="1">
        <f t="array" ref="C36">IFERROR(
_xlfn.SWITCH(
'User Inputs'!$D$60,
$B$28,2,
$B$29,3,
0
),
0
)</f>
        <v>0</v>
      </c>
    </row>
    <row r="37" spans="2:3" ht="13.8" x14ac:dyDescent="0.3">
      <c r="B37" s="98" t="s">
        <v>302</v>
      </c>
      <c r="C37" s="98">
        <f>IF(
$C$34=0,
0,
$C$34+1
)</f>
        <v>0</v>
      </c>
    </row>
    <row r="38" spans="2:3" ht="13.8" x14ac:dyDescent="0.3">
      <c r="B38" s="98" t="s">
        <v>303</v>
      </c>
      <c r="C38" s="98">
        <f>IF(
$C$34=0,
0,
$C$34+2
)</f>
        <v>0</v>
      </c>
    </row>
    <row r="39" spans="2:3" ht="13.8" x14ac:dyDescent="0.3">
      <c r="B39" s="98" t="s">
        <v>304</v>
      </c>
      <c r="C39" s="98">
        <f>IF(
$C$34=0,
0,
$C$34+3
)</f>
        <v>0</v>
      </c>
    </row>
    <row r="40" spans="2:3" ht="13.8" x14ac:dyDescent="0.3">
      <c r="B40" s="98" t="s">
        <v>305</v>
      </c>
      <c r="C40" s="98">
        <f>IF(
$C$34=0,
0,
$C$34+4
)</f>
        <v>0</v>
      </c>
    </row>
    <row r="41" spans="2:3" ht="13.8" x14ac:dyDescent="0.3">
      <c r="B41" s="98" t="s">
        <v>306</v>
      </c>
      <c r="C41" s="98" cm="1">
        <f t="array" ref="C41">_xlfn.LET(
    _xlpm.baseRate,
    IF(
        OR($C$37&lt;=0,$C$35&lt;=0),
        0,
        IFERROR(
            INDEX('MEA Incentives'!$A$1:$D$61,$C$37,$C$35),
            0
        )
    ),
    _xlpm.bonusRate,
    IF(
        AND(
            _xlpm.baseRate&gt;0,
            OR(
                'User Inputs'!$B$10=$B$21,
                AND(
                    'User Inputs'!$B$10=$B$18,
                    'User Inputs'!$B$12="Yes"
                )
            )
        ),
        IFERROR(
            INDEX('MEA Incentives'!$A$1:$D$61,$C$37,4),
            0
        ),
        0
    ),
    _xlpm.baseRate+_xlpm.bonusRate
)</f>
        <v>0</v>
      </c>
    </row>
    <row r="42" spans="2:3" ht="13.8" x14ac:dyDescent="0.3">
      <c r="B42" s="98" t="s">
        <v>307</v>
      </c>
      <c r="C42" s="98" cm="1">
        <f t="array" ref="C42">_xlfn.LET(
    _xlpm.baseRate,
    IF(
        OR($C$38&lt;=0,$C$36&lt;=0),
        0,
        IFERROR(
            INDEX('MEA Incentives'!$A$1:$D$61,$C$38,$C$36),
            0
        )
    ),
    _xlpm.bonusRate,
    IF(
        AND(
            _xlpm.baseRate&gt;0,
            OR(
                'User Inputs'!$B$10=$B$21,
                AND(
                    'User Inputs'!$B$10=$B$18,
                    'User Inputs'!$B$12="Yes"
                )
            )
        ),
        IFERROR(
            INDEX('MEA Incentives'!$A$1:$D$61,$C$38,4),
            0
        ),
        0
    ),
    _xlpm.baseRate+_xlpm.bonusRate
)</f>
        <v>0</v>
      </c>
    </row>
    <row r="43" spans="2:3" ht="13.8" x14ac:dyDescent="0.3">
      <c r="B43" s="98" t="s">
        <v>308</v>
      </c>
      <c r="C43" s="98" cm="1">
        <f t="array" ref="C43">IF(
    OR($C$39&lt;=0,$C$35&lt;=0),
    0,
    IFERROR(
        INDEX('MEA Incentives'!$A$1:$D$61,$C$39,$C$35),
        0
    )
)</f>
        <v>0</v>
      </c>
    </row>
    <row r="44" spans="2:3" ht="13.8" x14ac:dyDescent="0.3">
      <c r="B44" s="98" t="s">
        <v>309</v>
      </c>
      <c r="C44" s="98" cm="1">
        <f t="array" ref="C44">IF(
    OR($C$40&lt;=0,$C$35&lt;=0),
    0,
    IFERROR(
        INDEX('MEA Incentives'!$A$1:$D$61,$C$40,$C$35),
        0
    )
)</f>
        <v>0</v>
      </c>
    </row>
    <row r="45" spans="2:3" ht="13.8" x14ac:dyDescent="0.3">
      <c r="B45" s="98" t="s">
        <v>310</v>
      </c>
      <c r="C45" s="98" cm="1">
        <f t="array" ref="C45">IF(
    OR($C$39&lt;=0,$C$36&lt;=0),
    0,
    IFERROR(
        INDEX('MEA Incentives'!$A$1:$D$61,$C$39,$C$36),
        0
    )
)</f>
        <v>0</v>
      </c>
    </row>
    <row r="46" spans="2:3" ht="13.8" x14ac:dyDescent="0.3">
      <c r="B46" s="98" t="s">
        <v>311</v>
      </c>
      <c r="C46" s="98" cm="1">
        <f t="array" ref="C46">IF(
    OR($C$40&lt;=0,$C$36&lt;=0),
    0,
    IFERROR(
        INDEX('MEA Incentives'!$A$1:$D$61,$C$40,$C$36),
        0
    )
)</f>
        <v>0</v>
      </c>
    </row>
    <row r="47" spans="2:3" ht="13.8" x14ac:dyDescent="0.3">
      <c r="B47" s="98" t="s">
        <v>312</v>
      </c>
      <c r="C47" s="98">
        <f>IF(
OR(
'User Inputs'!$B$10=$B$17,
'User Inputs'!$H$10=$B$4
),
0,
IF(
OR(
'User Inputs'!$H$10=$B$5,
'User Inputs'!$H$10=$B$7
),
IFERROR(--'User Inputs'!$B$58,0)*$C$41,
0
)
)</f>
        <v>0</v>
      </c>
    </row>
    <row r="48" spans="2:3" ht="13.8" x14ac:dyDescent="0.3">
      <c r="B48" s="98" t="s">
        <v>313</v>
      </c>
      <c r="C48" s="98">
        <f>IF(
    OR(
        $C$47&lt;=0,
        $C$41&lt;=0
    ),
    0,
    $C$47
)</f>
        <v>0</v>
      </c>
    </row>
    <row r="49" spans="2:3" ht="13.8" x14ac:dyDescent="0.3">
      <c r="B49" s="98" t="s">
        <v>314</v>
      </c>
      <c r="C49" s="98">
        <f>IF(
OR(
'User Inputs'!$B$10=$B$17,
'User Inputs'!$H$10=$B$4
),
0,
IF(
OR(
'User Inputs'!$H$10=$B$6,
'User Inputs'!$H$10=$B$7
),
IFERROR(--'User Inputs'!$B$60,0)*$C$42,
0
)
)</f>
        <v>0</v>
      </c>
    </row>
    <row r="50" spans="2:3" ht="13.8" x14ac:dyDescent="0.3">
      <c r="B50" s="98" t="s">
        <v>315</v>
      </c>
      <c r="C50" s="98">
        <f>IF(
    OR(
        $C$49&lt;=0,
        $C$42&lt;=0
    ),
    0,
    $C$49
)</f>
        <v>0</v>
      </c>
    </row>
    <row r="51" spans="2:3" ht="13.8" x14ac:dyDescent="0.3">
      <c r="B51" s="29"/>
      <c r="C51" s="29"/>
    </row>
    <row r="52" spans="2:3" ht="13.8" x14ac:dyDescent="0.3">
      <c r="B52" s="29"/>
      <c r="C52" s="29"/>
    </row>
    <row r="53" spans="2:3" ht="13.8" x14ac:dyDescent="0.3">
      <c r="B53" s="29"/>
      <c r="C53" s="29"/>
    </row>
    <row r="54" spans="2:3" ht="13.8" x14ac:dyDescent="0.3">
      <c r="B54" s="97" t="s">
        <v>316</v>
      </c>
      <c r="C54" s="29"/>
    </row>
    <row r="55" spans="2:3" ht="13.8" x14ac:dyDescent="0.3">
      <c r="B55" s="98" t="s">
        <v>317</v>
      </c>
      <c r="C55" s="29"/>
    </row>
    <row r="56" spans="2:3" ht="13.8" x14ac:dyDescent="0.3">
      <c r="B56" s="98" t="s">
        <v>45</v>
      </c>
      <c r="C56" s="29"/>
    </row>
    <row r="57" spans="2:3" ht="13.8" x14ac:dyDescent="0.3">
      <c r="B57" s="98" t="s">
        <v>318</v>
      </c>
      <c r="C57" s="29"/>
    </row>
    <row r="58" spans="2:3" ht="13.8" x14ac:dyDescent="0.3">
      <c r="B58" s="98" t="s">
        <v>319</v>
      </c>
      <c r="C58" s="29"/>
    </row>
    <row r="59" spans="2:3" ht="13.8" x14ac:dyDescent="0.3">
      <c r="B59" s="98" t="s">
        <v>320</v>
      </c>
      <c r="C59" s="29"/>
    </row>
    <row r="60" spans="2:3" ht="13.8" x14ac:dyDescent="0.3">
      <c r="B60" s="98" t="s">
        <v>321</v>
      </c>
      <c r="C60" s="29"/>
    </row>
    <row r="61" spans="2:3" ht="13.8" x14ac:dyDescent="0.3">
      <c r="B61" s="98" t="s">
        <v>322</v>
      </c>
      <c r="C61" s="29"/>
    </row>
    <row r="62" spans="2:3" ht="13.8" x14ac:dyDescent="0.3">
      <c r="B62" s="98" t="s">
        <v>323</v>
      </c>
      <c r="C62" s="29"/>
    </row>
    <row r="63" spans="2:3" ht="13.8" x14ac:dyDescent="0.3">
      <c r="B63" s="98" t="s">
        <v>324</v>
      </c>
      <c r="C63" s="29"/>
    </row>
    <row r="64" spans="2:3" ht="13.8" x14ac:dyDescent="0.3">
      <c r="B64" s="98" t="s">
        <v>325</v>
      </c>
      <c r="C64" s="29"/>
    </row>
    <row r="65" spans="2:3" ht="13.8" x14ac:dyDescent="0.3">
      <c r="B65" s="98" t="s">
        <v>326</v>
      </c>
      <c r="C65" s="29"/>
    </row>
    <row r="66" spans="2:3" ht="13.8" x14ac:dyDescent="0.3">
      <c r="B66" s="98" t="s">
        <v>327</v>
      </c>
      <c r="C66" s="29"/>
    </row>
    <row r="67" spans="2:3" ht="13.8" x14ac:dyDescent="0.3">
      <c r="B67" s="98" t="s">
        <v>328</v>
      </c>
      <c r="C67" s="29"/>
    </row>
    <row r="68" spans="2:3" ht="13.8" x14ac:dyDescent="0.3">
      <c r="B68" s="98" t="s">
        <v>329</v>
      </c>
      <c r="C68" s="29"/>
    </row>
    <row r="69" spans="2:3" ht="13.8" x14ac:dyDescent="0.3">
      <c r="B69" s="98" t="s">
        <v>330</v>
      </c>
      <c r="C69" s="29"/>
    </row>
    <row r="70" spans="2:3" ht="13.8" x14ac:dyDescent="0.3">
      <c r="B70" s="98" t="s">
        <v>331</v>
      </c>
      <c r="C70" s="29"/>
    </row>
    <row r="71" spans="2:3" ht="13.8" x14ac:dyDescent="0.3">
      <c r="B71" s="98" t="s">
        <v>332</v>
      </c>
      <c r="C71" s="29"/>
    </row>
    <row r="72" spans="2:3" ht="13.8" x14ac:dyDescent="0.3">
      <c r="B72" s="98" t="s">
        <v>333</v>
      </c>
      <c r="C72" s="29"/>
    </row>
    <row r="73" spans="2:3" ht="13.8" x14ac:dyDescent="0.3">
      <c r="B73" s="98" t="s">
        <v>334</v>
      </c>
      <c r="C73" s="29"/>
    </row>
    <row r="74" spans="2:3" ht="13.8" x14ac:dyDescent="0.3">
      <c r="B74" s="98" t="s">
        <v>335</v>
      </c>
      <c r="C74" s="29"/>
    </row>
    <row r="75" spans="2:3" ht="13.8" x14ac:dyDescent="0.3">
      <c r="B75" s="98" t="s">
        <v>336</v>
      </c>
      <c r="C75" s="29"/>
    </row>
    <row r="76" spans="2:3" ht="13.8" x14ac:dyDescent="0.3">
      <c r="B76" s="98" t="s">
        <v>337</v>
      </c>
      <c r="C76" s="29"/>
    </row>
    <row r="77" spans="2:3" ht="13.8" x14ac:dyDescent="0.3">
      <c r="B77" s="98" t="s">
        <v>338</v>
      </c>
      <c r="C77" s="29"/>
    </row>
    <row r="78" spans="2:3" ht="13.8" x14ac:dyDescent="0.3">
      <c r="B78" s="98" t="s">
        <v>339</v>
      </c>
      <c r="C78" s="29"/>
    </row>
    <row r="79" spans="2:3" ht="13.8" x14ac:dyDescent="0.3">
      <c r="B79" s="29"/>
      <c r="C79" s="29"/>
    </row>
    <row r="80" spans="2:3" ht="13.8" x14ac:dyDescent="0.3">
      <c r="B80" s="29"/>
      <c r="C80" s="29"/>
    </row>
    <row r="81" spans="2:3" ht="13.8" x14ac:dyDescent="0.3">
      <c r="B81" s="97" t="s">
        <v>340</v>
      </c>
      <c r="C81" s="29"/>
    </row>
    <row r="82" spans="2:3" ht="13.8" x14ac:dyDescent="0.3">
      <c r="B82" s="98" t="s">
        <v>275</v>
      </c>
      <c r="C82" s="29"/>
    </row>
    <row r="83" spans="2:3" ht="13.8" x14ac:dyDescent="0.3">
      <c r="B83" s="98" t="s">
        <v>279</v>
      </c>
      <c r="C83" s="29"/>
    </row>
    <row r="84" spans="2:3" ht="13.8" x14ac:dyDescent="0.3">
      <c r="B84" s="98" t="s">
        <v>341</v>
      </c>
      <c r="C84" s="29"/>
    </row>
    <row r="85" spans="2:3" ht="13.8" x14ac:dyDescent="0.3">
      <c r="B85" s="98"/>
      <c r="C85" s="29"/>
    </row>
    <row r="86" spans="2:3" ht="13.8" x14ac:dyDescent="0.3">
      <c r="B86" s="98"/>
      <c r="C86" s="29"/>
    </row>
    <row r="87" spans="2:3" ht="13.8" x14ac:dyDescent="0.3">
      <c r="B87" s="98"/>
      <c r="C87" s="29"/>
    </row>
    <row r="88" spans="2:3" ht="13.8" x14ac:dyDescent="0.3">
      <c r="B88" s="29"/>
    </row>
    <row r="89" spans="2:3" ht="13.8" x14ac:dyDescent="0.3">
      <c r="B89" s="29"/>
    </row>
    <row r="90" spans="2:3" ht="13.8" x14ac:dyDescent="0.3">
      <c r="B90" s="394" t="s">
        <v>342</v>
      </c>
      <c r="C90" s="395"/>
    </row>
    <row r="91" spans="2:3" ht="13.8" x14ac:dyDescent="0.3">
      <c r="B91" s="99" t="s">
        <v>296</v>
      </c>
      <c r="C91" s="99" t="s">
        <v>297</v>
      </c>
    </row>
    <row r="92" spans="2:3" ht="13.8" x14ac:dyDescent="0.3">
      <c r="B92" s="98" t="s">
        <v>343</v>
      </c>
      <c r="C92" s="98" t="b">
        <f>OR(
IF('User Inputs'!$F$10&gt;=1,IFERROR(INDEX('Embedded Values'!$E$22:$E$34,MATCH('User Inputs'!$B$34,'Embedded Values'!$B$22:$B$34,0))="Tandem",FALSE),FALSE),
IF('User Inputs'!$F$10&gt;=2,IFERROR(INDEX('Embedded Values'!$E$22:$E$34,MATCH('User Inputs'!$D$34,'Embedded Values'!$B$22:$B$34,0))="Tandem",FALSE),FALSE),
IF('User Inputs'!$F$10&gt;=3,IFERROR(INDEX('Embedded Values'!$E$22:$E$34,MATCH('User Inputs'!$F$34,'Embedded Values'!$B$22:$B$34,0))="Tandem",FALSE),FALSE),
IF('User Inputs'!$F$10&gt;=4,IFERROR(INDEX('Embedded Values'!$E$22:$E$34,MATCH('User Inputs'!$H$34,'Embedded Values'!$B$22:$B$34,0))="Tandem",FALSE),FALSE)
)</f>
        <v>0</v>
      </c>
    </row>
    <row r="93" spans="2:3" ht="13.8" x14ac:dyDescent="0.3">
      <c r="B93" s="98" t="s">
        <v>344</v>
      </c>
      <c r="C93" s="98" t="b">
        <f>OR(
IF(
'User Inputs'!$F$10&gt;=1,
IFERROR(
AND(
INDEX('Embedded Values'!$E$22:$E$34,MATCH('User Inputs'!$B$34,'Embedded Values'!$B$22:$B$34,0))="Core",
OR(
INDEX('Embedded Values'!$F$22:$F$34,MATCH('User Inputs'!$B$34,'Embedded Values'!$B$22:$B$34,0))="All",
ISNUMBER(SEARCH(";"&amp;'User Inputs'!$B$10&amp;";",";"&amp;SUBSTITUTE(INDEX('Embedded Values'!$F$22:$F$34,MATCH('User Inputs'!$B$34,'Embedded Values'!$B$22:$B$34,0)),"; ",";")&amp;";"))
)
),
FALSE
),
FALSE
),
IF(
'User Inputs'!$F$10&gt;=2,
IFERROR(
AND(
INDEX('Embedded Values'!$E$22:$E$34,MATCH('User Inputs'!$D$34,'Embedded Values'!$B$22:$B$34,0))="Core",
OR(
INDEX('Embedded Values'!$F$22:$F$34,MATCH('User Inputs'!$D$34,'Embedded Values'!$B$22:$B$34,0))="All",
ISNUMBER(SEARCH(";"&amp;'User Inputs'!$B$10&amp;";",";"&amp;SUBSTITUTE(INDEX('Embedded Values'!$F$22:$F$34,MATCH('User Inputs'!$D$34,'Embedded Values'!$B$22:$B$34,0)),"; ",";")&amp;";"))
)
),
FALSE
),
FALSE
),
IF(
'User Inputs'!$F$10&gt;=3,
IFERROR(
AND(
INDEX('Embedded Values'!$E$22:$E$34,MATCH('User Inputs'!$F$34,'Embedded Values'!$B$22:$B$34,0))="Core",
OR(
INDEX('Embedded Values'!$F$22:$F$34,MATCH('User Inputs'!$F$34,'Embedded Values'!$B$22:$B$34,0))="All",
ISNUMBER(SEARCH(";"&amp;'User Inputs'!$B$10&amp;";",";"&amp;SUBSTITUTE(INDEX('Embedded Values'!$F$22:$F$34,MATCH('User Inputs'!$F$34,'Embedded Values'!$B$22:$B$34,0)),"; ",";")&amp;";"))
)
),
FALSE
),
FALSE
),
IF(
'User Inputs'!$F$10&gt;=4,
IFERROR(
AND(
INDEX('Embedded Values'!$E$22:$E$34,MATCH('User Inputs'!$H$34,'Embedded Values'!$B$22:$B$34,0))="Core",
OR(
INDEX('Embedded Values'!$F$22:$F$34,MATCH('User Inputs'!$H$34,'Embedded Values'!$B$22:$B$34,0))="All",
ISNUMBER(SEARCH(";"&amp;'User Inputs'!$B$10&amp;";",";"&amp;SUBSTITUTE(INDEX('Embedded Values'!$F$22:$F$34,MATCH('User Inputs'!$H$34,'Embedded Values'!$B$22:$B$34,0)),"; ",";")&amp;";"))
)
),
FALSE
),
FALSE
),
AND(
'User Inputs'!$B$10&lt;&gt;'Dev. Notes'!$B$17,
'User Inputs'!$H$10='Dev. Notes'!$B$5,
IFERROR(--'User Inputs'!$B$58,0)&gt;0
),
AND(
'User Inputs'!$B$10&lt;&gt;'Dev. Notes'!$B$17,
'User Inputs'!$H$10='Dev. Notes'!$B$6,
IFERROR(--'User Inputs'!$B$60,0)&gt;0
),
AND(
'User Inputs'!$B$10&lt;&gt;'Dev. Notes'!$B$17,
'User Inputs'!$H$10="Both",
OR(
IFERROR(--'User Inputs'!$B$58,0)&gt;0,
IFERROR(--'User Inputs'!$B$60,0)&gt;0
)
)
)</f>
        <v>0</v>
      </c>
    </row>
    <row r="94" spans="2:3" ht="13.8" x14ac:dyDescent="0.3">
      <c r="B94" s="98" t="s">
        <v>345</v>
      </c>
      <c r="C94" s="98" t="b">
        <f>AND(
$C$92=TRUE,
$C$93=FALSE
)</f>
        <v>0</v>
      </c>
    </row>
    <row r="95" spans="2:3" ht="13.8" x14ac:dyDescent="0.3">
      <c r="B95" s="29"/>
    </row>
    <row r="96" spans="2:3" ht="13.8" x14ac:dyDescent="0.3">
      <c r="B96" s="29"/>
    </row>
    <row r="97" spans="1:8" ht="13.8" x14ac:dyDescent="0.3">
      <c r="B97" s="394" t="s">
        <v>346</v>
      </c>
      <c r="C97" s="395"/>
    </row>
    <row r="98" spans="1:8" ht="13.8" x14ac:dyDescent="0.3">
      <c r="B98" s="98" t="s">
        <v>347</v>
      </c>
      <c r="C98" s="98" t="b">
        <f>OR(
IF('User Inputs'!$F$10&gt;=1,IFERROR(INDEX('Embedded Values'!$F$22:$F$34,MATCH('User Inputs'!$B$34,'Embedded Values'!$B$22:$B$34,0))&lt;&gt;"All",FALSE),FALSE),
IF('User Inputs'!$F$10&gt;=2,IFERROR(INDEX('Embedded Values'!$F$22:$F$34,MATCH('User Inputs'!$D$34,'Embedded Values'!$B$22:$B$34,0))&lt;&gt;"All",FALSE),FALSE),
IF('User Inputs'!$F$10&gt;=3,IFERROR(INDEX('Embedded Values'!$F$22:$F$34,MATCH('User Inputs'!$F$34,'Embedded Values'!$B$22:$B$34,0))&lt;&gt;"All",FALSE),FALSE),
IF('User Inputs'!$F$10&gt;=4,IFERROR(INDEX('Embedded Values'!$F$22:$F$34,MATCH('User Inputs'!$H$34,'Embedded Values'!$B$22:$B$34,0))&lt;&gt;"All",FALSE),FALSE)
)</f>
        <v>0</v>
      </c>
    </row>
    <row r="99" spans="1:8" ht="13.8" x14ac:dyDescent="0.3">
      <c r="B99" s="98" t="s">
        <v>348</v>
      </c>
      <c r="C99" s="98" t="b">
        <f>AND(
IF(
'User Inputs'!$F$10&gt;=1,
IFERROR(
OR(
INDEX('Embedded Values'!$F$22:$F$34,MATCH('User Inputs'!$B$34,'Embedded Values'!$B$22:$B$34,0))="All",
ISNUMBER(SEARCH(
";"&amp;'User Inputs'!$B$10&amp;";",
";"&amp;SUBSTITUTE(INDEX('Embedded Values'!$F$22:$F$34,MATCH('User Inputs'!$B$34,'Embedded Values'!$B$22:$B$34,0)),"; ",";")&amp;";"
))
),
FALSE
),
TRUE
),
IF(
'User Inputs'!$F$10&gt;=2,
IFERROR(
OR(
INDEX('Embedded Values'!$F$22:$F$34,MATCH('User Inputs'!$D$34,'Embedded Values'!$B$22:$B$34,0))="All",
ISNUMBER(SEARCH(
";"&amp;'User Inputs'!$B$10&amp;";",
";"&amp;SUBSTITUTE(INDEX('Embedded Values'!$F$22:$F$34,MATCH('User Inputs'!$D$34,'Embedded Values'!$B$22:$B$34,0)),"; ",";")&amp;";"
))
),
FALSE
),
TRUE
),
IF(
'User Inputs'!$F$10&gt;=3,
IFERROR(
OR(
INDEX('Embedded Values'!$F$22:$F$34,MATCH('User Inputs'!$F$34,'Embedded Values'!$B$22:$B$34,0))="All",
ISNUMBER(SEARCH(
";"&amp;'User Inputs'!$B$10&amp;";",
";"&amp;SUBSTITUTE(INDEX('Embedded Values'!$F$22:$F$34,MATCH('User Inputs'!$F$34,'Embedded Values'!$B$22:$B$34,0)),"; ",";")&amp;";"
))
),
FALSE
),
TRUE
),
IF(
'User Inputs'!$F$10&gt;=4,
IFERROR(
OR(
INDEX('Embedded Values'!$F$22:$F$34,MATCH('User Inputs'!$H$34,'Embedded Values'!$B$22:$B$34,0))="All",
ISNUMBER(SEARCH(
";"&amp;'User Inputs'!$B$10&amp;";",
";"&amp;SUBSTITUTE(INDEX('Embedded Values'!$F$22:$F$34,MATCH('User Inputs'!$H$34,'Embedded Values'!$B$22:$B$34,0)),"; ",";")&amp;";"
))
),
FALSE
),
TRUE
)
)</f>
        <v>1</v>
      </c>
    </row>
    <row r="100" spans="1:8" ht="13.8" x14ac:dyDescent="0.3">
      <c r="B100" s="98" t="s">
        <v>349</v>
      </c>
      <c r="C100" s="98" t="b">
        <f>AND(
$C$98=TRUE,
$C$99=FALSE
)</f>
        <v>0</v>
      </c>
    </row>
    <row r="101" spans="1:8" ht="13.8" x14ac:dyDescent="0.3">
      <c r="B101" s="29"/>
    </row>
    <row r="102" spans="1:8" ht="13.8" x14ac:dyDescent="0.3">
      <c r="B102" s="29"/>
    </row>
    <row r="103" spans="1:8" ht="13.8" x14ac:dyDescent="0.3">
      <c r="B103" s="29"/>
    </row>
    <row r="104" spans="1:8" ht="13.8" x14ac:dyDescent="0.3">
      <c r="A104" s="29"/>
    </row>
    <row r="105" spans="1:8" ht="13.8" x14ac:dyDescent="0.3">
      <c r="B105" s="100" t="s">
        <v>350</v>
      </c>
      <c r="C105" s="29"/>
      <c r="D105" s="29"/>
      <c r="E105" s="29"/>
      <c r="F105" s="29"/>
      <c r="G105" s="29"/>
      <c r="H105" s="29"/>
    </row>
    <row r="106" spans="1:8" ht="13.8" x14ac:dyDescent="0.3">
      <c r="B106" s="29" t="s">
        <v>351</v>
      </c>
      <c r="C106" s="29" t="s">
        <v>352</v>
      </c>
      <c r="D106" s="29"/>
      <c r="E106" s="29"/>
      <c r="F106" s="29"/>
      <c r="G106" s="29"/>
      <c r="H106" s="29"/>
    </row>
    <row r="107" spans="1:8" ht="13.8" x14ac:dyDescent="0.3">
      <c r="B107" s="29" t="s">
        <v>353</v>
      </c>
      <c r="C107" s="29" t="s">
        <v>354</v>
      </c>
      <c r="D107" s="29"/>
      <c r="E107" s="29"/>
      <c r="F107" s="29"/>
      <c r="G107" s="29"/>
      <c r="H107" s="29"/>
    </row>
    <row r="108" spans="1:8" ht="13.8" x14ac:dyDescent="0.3">
      <c r="B108" s="29" t="s">
        <v>355</v>
      </c>
      <c r="C108" s="29" t="s">
        <v>356</v>
      </c>
      <c r="D108" s="29"/>
      <c r="E108" s="29"/>
      <c r="F108" s="29"/>
      <c r="G108" s="29"/>
      <c r="H108" s="29"/>
    </row>
    <row r="109" spans="1:8" ht="13.8" x14ac:dyDescent="0.3">
      <c r="B109" s="29" t="s">
        <v>357</v>
      </c>
      <c r="C109" s="29" t="s">
        <v>358</v>
      </c>
      <c r="D109" s="29"/>
      <c r="E109" s="29"/>
      <c r="F109" s="29"/>
      <c r="G109" s="29"/>
      <c r="H109" s="29"/>
    </row>
    <row r="110" spans="1:8" ht="13.8" x14ac:dyDescent="0.3">
      <c r="B110" s="29" t="s">
        <v>359</v>
      </c>
      <c r="C110" s="29" t="s">
        <v>360</v>
      </c>
      <c r="D110" s="29"/>
      <c r="E110" s="29"/>
      <c r="F110" s="29"/>
      <c r="G110" s="29"/>
      <c r="H110" s="29"/>
    </row>
    <row r="111" spans="1:8" ht="13.8" x14ac:dyDescent="0.3">
      <c r="B111" s="29" t="s">
        <v>361</v>
      </c>
      <c r="C111" s="29" t="s">
        <v>362</v>
      </c>
    </row>
    <row r="112" spans="1:8" ht="13.8" x14ac:dyDescent="0.3">
      <c r="B112" s="29" t="s">
        <v>363</v>
      </c>
      <c r="C112" s="101" t="s">
        <v>364</v>
      </c>
    </row>
    <row r="113" spans="2:3" ht="13.8" x14ac:dyDescent="0.3">
      <c r="B113" s="29" t="s">
        <v>363</v>
      </c>
      <c r="C113" s="102" t="s">
        <v>365</v>
      </c>
    </row>
  </sheetData>
  <mergeCells count="3">
    <mergeCell ref="B31:C31"/>
    <mergeCell ref="B90:C90"/>
    <mergeCell ref="B97:C9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6463BC55611C469CEDABDE6104E5EF" ma:contentTypeVersion="1" ma:contentTypeDescription="Create a new document." ma:contentTypeScope="" ma:versionID="599a758b4d8c3a9727cb2e42395f621f">
  <xsd:schema xmlns:xsd="http://www.w3.org/2001/XMLSchema" xmlns:xs="http://www.w3.org/2001/XMLSchema" xmlns:p="http://schemas.microsoft.com/office/2006/metadata/properties" targetNamespace="http://schemas.microsoft.com/office/2006/metadata/properties" ma:root="true" ma:fieldsID="7dcc10a156eb2aa295318eab019ded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5B065E-D635-4298-A33F-C2814AB23463}">
  <ds:schemaRefs>
    <ds:schemaRef ds:uri="http://schemas.microsoft.com/office/2006/metadata/properties"/>
    <ds:schemaRef ds:uri="http://schemas.microsoft.com/office/infopath/2007/PartnerControls"/>
    <ds:schemaRef ds:uri="b77612ce-33e4-4e80-a4f2-9174949c1b51"/>
    <ds:schemaRef ds:uri="c73627f2-9386-4f44-93bc-51c4e68b30c8"/>
  </ds:schemaRefs>
</ds:datastoreItem>
</file>

<file path=customXml/itemProps2.xml><?xml version="1.0" encoding="utf-8"?>
<ds:datastoreItem xmlns:ds="http://schemas.openxmlformats.org/officeDocument/2006/customXml" ds:itemID="{A934C657-BD67-47EE-A4FF-BF6BFD1A9C07}">
  <ds:schemaRefs>
    <ds:schemaRef ds:uri="http://schemas.microsoft.com/sharepoint/v3/contenttype/forms"/>
  </ds:schemaRefs>
</ds:datastoreItem>
</file>

<file path=customXml/itemProps3.xml><?xml version="1.0" encoding="utf-8"?>
<ds:datastoreItem xmlns:ds="http://schemas.openxmlformats.org/officeDocument/2006/customXml" ds:itemID="{F24BC92C-CBE7-49C7-9367-C78FD2FFBE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User Inputs</vt:lpstr>
      <vt:lpstr>Budget &amp; Timeline</vt:lpstr>
      <vt:lpstr>Calculated Metrics</vt:lpstr>
      <vt:lpstr>Embedded Values</vt:lpstr>
      <vt:lpstr>MEA Incentives</vt:lpstr>
      <vt:lpstr>Updates Log</vt:lpstr>
      <vt:lpstr>Dev.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Megan Lackay -MEA-</cp:lastModifiedBy>
  <cp:revision/>
  <dcterms:created xsi:type="dcterms:W3CDTF">2026-05-06T14:00:16Z</dcterms:created>
  <dcterms:modified xsi:type="dcterms:W3CDTF">2026-09-29T11:20:56Z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0x010100A96463BC55611C469CEDABDE6104E5EF</vt:lpwstr>
  </property>
  <property fmtid="{D5CDD505-2E9C-101B-9397-08002B2CF9AE}" pid="3" name="MediaServiceImageTags">
    <vt:lpwstr/>
  </property>
</Properties>
</file>