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hared Files\Program Team\RE and Transpo\Solar\Community Solar Grant Program\FY21\LMI-PPA\"/>
    </mc:Choice>
  </mc:AlternateContent>
  <bookViews>
    <workbookView xWindow="0" yWindow="0" windowWidth="26235" windowHeight="7830" tabRatio="687"/>
  </bookViews>
  <sheets>
    <sheet name="Application" sheetId="5" r:id="rId1"/>
    <sheet name="Instructions " sheetId="3" r:id="rId2"/>
    <sheet name="Test Case" sheetId="1" r:id="rId3"/>
    <sheet name="Step-Down Case" sheetId="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 l="1"/>
  <c r="C9" i="2" s="1"/>
  <c r="B5" i="1"/>
  <c r="B9" i="1" s="1"/>
  <c r="C34" i="1" l="1"/>
  <c r="C34" i="2" l="1"/>
  <c r="A31" i="2"/>
  <c r="C17" i="2"/>
  <c r="B17" i="2"/>
  <c r="J5" i="1" l="1"/>
  <c r="N5" i="1" s="1"/>
  <c r="N7" i="1" s="1"/>
  <c r="N8" i="1" s="1"/>
  <c r="C9" i="1" l="1"/>
  <c r="A23" i="2"/>
  <c r="C33" i="2" l="1"/>
  <c r="C51" i="2"/>
  <c r="A51" i="2"/>
  <c r="A47" i="2"/>
  <c r="A57" i="2"/>
  <c r="A48" i="2" s="1"/>
  <c r="D46" i="2"/>
  <c r="E46" i="2" s="1"/>
  <c r="F46" i="2" s="1"/>
  <c r="G46" i="2" s="1"/>
  <c r="H46" i="2" s="1"/>
  <c r="I46" i="2" s="1"/>
  <c r="J46" i="2" s="1"/>
  <c r="K46" i="2" s="1"/>
  <c r="L46" i="2" s="1"/>
  <c r="M46" i="2" s="1"/>
  <c r="N46" i="2" s="1"/>
  <c r="O46" i="2" s="1"/>
  <c r="P46" i="2" s="1"/>
  <c r="Q46" i="2" s="1"/>
  <c r="R46" i="2" s="1"/>
  <c r="S46" i="2" s="1"/>
  <c r="T46" i="2" s="1"/>
  <c r="U46" i="2" s="1"/>
  <c r="V46" i="2" s="1"/>
  <c r="C37" i="2"/>
  <c r="A37" i="2" s="1"/>
  <c r="A34" i="2"/>
  <c r="A33" i="2"/>
  <c r="D32" i="2"/>
  <c r="E32" i="2" s="1"/>
  <c r="F32" i="2" s="1"/>
  <c r="G32" i="2" s="1"/>
  <c r="H32" i="2" s="1"/>
  <c r="I32" i="2" s="1"/>
  <c r="J32" i="2" s="1"/>
  <c r="K32" i="2" s="1"/>
  <c r="L32" i="2" s="1"/>
  <c r="M32" i="2" s="1"/>
  <c r="N32" i="2" s="1"/>
  <c r="O32" i="2" s="1"/>
  <c r="P32" i="2" s="1"/>
  <c r="Q32" i="2" s="1"/>
  <c r="R32" i="2" s="1"/>
  <c r="S32" i="2" s="1"/>
  <c r="T32" i="2" s="1"/>
  <c r="U32" i="2" s="1"/>
  <c r="V32" i="2" s="1"/>
  <c r="C33" i="1"/>
  <c r="C48" i="1"/>
  <c r="C52" i="1"/>
  <c r="A34" i="1"/>
  <c r="A47" i="1"/>
  <c r="C36" i="1"/>
  <c r="D46" i="1"/>
  <c r="E46" i="1" s="1"/>
  <c r="F46" i="1" s="1"/>
  <c r="G46" i="1" s="1"/>
  <c r="H46" i="1" s="1"/>
  <c r="I46" i="1" s="1"/>
  <c r="J46" i="1" s="1"/>
  <c r="K46" i="1" s="1"/>
  <c r="L46" i="1" s="1"/>
  <c r="M46" i="1" s="1"/>
  <c r="N46" i="1" s="1"/>
  <c r="O46" i="1" s="1"/>
  <c r="P46" i="1" s="1"/>
  <c r="Q46" i="1" s="1"/>
  <c r="R46" i="1" s="1"/>
  <c r="S46" i="1" s="1"/>
  <c r="T46" i="1" s="1"/>
  <c r="U46" i="1" s="1"/>
  <c r="V46" i="1" s="1"/>
  <c r="C37" i="1"/>
  <c r="A37" i="1" s="1"/>
  <c r="A52" i="1" s="1"/>
  <c r="A33" i="1"/>
  <c r="D32" i="1"/>
  <c r="E32" i="1" s="1"/>
  <c r="F32" i="1" s="1"/>
  <c r="G32" i="1" s="1"/>
  <c r="H32" i="1" s="1"/>
  <c r="I32" i="1" s="1"/>
  <c r="A23" i="1"/>
  <c r="N17" i="1" l="1"/>
  <c r="E48" i="1"/>
  <c r="C48" i="2"/>
  <c r="K33" i="2"/>
  <c r="O33" i="2"/>
  <c r="S33" i="2"/>
  <c r="D33" i="2"/>
  <c r="F33" i="2"/>
  <c r="H33" i="2"/>
  <c r="J33" i="2"/>
  <c r="L33" i="2"/>
  <c r="N33" i="2"/>
  <c r="P33" i="2"/>
  <c r="R33" i="2"/>
  <c r="T33" i="2"/>
  <c r="V33" i="2"/>
  <c r="E33" i="2"/>
  <c r="G33" i="2"/>
  <c r="I33" i="2"/>
  <c r="M33" i="2"/>
  <c r="Q33" i="2"/>
  <c r="U33" i="2"/>
  <c r="U47" i="2"/>
  <c r="D48" i="1"/>
  <c r="J32" i="1"/>
  <c r="K32" i="1" s="1"/>
  <c r="L32" i="1" s="1"/>
  <c r="M32" i="1" s="1"/>
  <c r="M33" i="1" s="1"/>
  <c r="I48" i="1"/>
  <c r="I47" i="1"/>
  <c r="G47" i="1"/>
  <c r="E47" i="1"/>
  <c r="E33" i="1"/>
  <c r="G33" i="1"/>
  <c r="I33" i="1"/>
  <c r="D34" i="1"/>
  <c r="F34" i="1"/>
  <c r="H34" i="1"/>
  <c r="D47" i="1"/>
  <c r="H47" i="1"/>
  <c r="D33" i="1"/>
  <c r="F33" i="1"/>
  <c r="H33" i="1"/>
  <c r="E34" i="1"/>
  <c r="G34" i="1"/>
  <c r="I34" i="1"/>
  <c r="F47" i="1"/>
  <c r="C51" i="1"/>
  <c r="H48" i="1"/>
  <c r="F48" i="1"/>
  <c r="G48" i="1"/>
  <c r="K47" i="1" l="1"/>
  <c r="L48" i="1"/>
  <c r="J47" i="1"/>
  <c r="M34" i="1"/>
  <c r="L33" i="1"/>
  <c r="H47" i="2"/>
  <c r="P47" i="2"/>
  <c r="K47" i="2"/>
  <c r="S47" i="2"/>
  <c r="D47" i="2"/>
  <c r="L47" i="2"/>
  <c r="T47" i="2"/>
  <c r="G47" i="2"/>
  <c r="O47" i="2"/>
  <c r="C50" i="2"/>
  <c r="V48" i="2"/>
  <c r="T48" i="2"/>
  <c r="R48" i="2"/>
  <c r="P48" i="2"/>
  <c r="P50" i="2" s="1"/>
  <c r="N48" i="2"/>
  <c r="L48" i="2"/>
  <c r="L50" i="2" s="1"/>
  <c r="J48" i="2"/>
  <c r="H48" i="2"/>
  <c r="F48" i="2"/>
  <c r="D48" i="2"/>
  <c r="U48" i="2"/>
  <c r="U50" i="2" s="1"/>
  <c r="S48" i="2"/>
  <c r="S50" i="2" s="1"/>
  <c r="Q48" i="2"/>
  <c r="O48" i="2"/>
  <c r="M48" i="2"/>
  <c r="K48" i="2"/>
  <c r="I48" i="2"/>
  <c r="G48" i="2"/>
  <c r="G50" i="2" s="1"/>
  <c r="E48" i="2"/>
  <c r="F47" i="2"/>
  <c r="J47" i="2"/>
  <c r="N47" i="2"/>
  <c r="R47" i="2"/>
  <c r="V47" i="2"/>
  <c r="E47" i="2"/>
  <c r="I47" i="2"/>
  <c r="M47" i="2"/>
  <c r="Q47" i="2"/>
  <c r="C36" i="2"/>
  <c r="T34" i="2"/>
  <c r="T36" i="2" s="1"/>
  <c r="P34" i="2"/>
  <c r="P36" i="2" s="1"/>
  <c r="L34" i="2"/>
  <c r="L36" i="2" s="1"/>
  <c r="H34" i="2"/>
  <c r="H36" i="2" s="1"/>
  <c r="D34" i="2"/>
  <c r="D36" i="2" s="1"/>
  <c r="U34" i="2"/>
  <c r="U36" i="2" s="1"/>
  <c r="S34" i="2"/>
  <c r="S36" i="2" s="1"/>
  <c r="Q34" i="2"/>
  <c r="Q36" i="2" s="1"/>
  <c r="O34" i="2"/>
  <c r="O36" i="2" s="1"/>
  <c r="M34" i="2"/>
  <c r="M36" i="2" s="1"/>
  <c r="K34" i="2"/>
  <c r="K36" i="2" s="1"/>
  <c r="I34" i="2"/>
  <c r="I36" i="2" s="1"/>
  <c r="G34" i="2"/>
  <c r="G36" i="2" s="1"/>
  <c r="E34" i="2"/>
  <c r="E36" i="2" s="1"/>
  <c r="V34" i="2"/>
  <c r="V36" i="2" s="1"/>
  <c r="R34" i="2"/>
  <c r="R36" i="2" s="1"/>
  <c r="N34" i="2"/>
  <c r="N36" i="2" s="1"/>
  <c r="J34" i="2"/>
  <c r="J36" i="2" s="1"/>
  <c r="F34" i="2"/>
  <c r="F36" i="2" s="1"/>
  <c r="H51" i="1"/>
  <c r="K48" i="1"/>
  <c r="K51" i="1" s="1"/>
  <c r="D51" i="1"/>
  <c r="I36" i="1"/>
  <c r="E36" i="1"/>
  <c r="J34" i="1"/>
  <c r="F36" i="1"/>
  <c r="F51" i="1"/>
  <c r="M36" i="1"/>
  <c r="G36" i="1"/>
  <c r="E51" i="1"/>
  <c r="N32" i="1"/>
  <c r="M48" i="1"/>
  <c r="G51" i="1"/>
  <c r="J48" i="1"/>
  <c r="K34" i="1"/>
  <c r="J33" i="1"/>
  <c r="L47" i="1"/>
  <c r="L34" i="1"/>
  <c r="H36" i="1"/>
  <c r="D36" i="1"/>
  <c r="K33" i="1"/>
  <c r="M47" i="1"/>
  <c r="I51" i="1"/>
  <c r="L51" i="1" l="1"/>
  <c r="L36" i="1"/>
  <c r="J51" i="1"/>
  <c r="K50" i="2"/>
  <c r="O50" i="2"/>
  <c r="D50" i="2"/>
  <c r="H50" i="2"/>
  <c r="T50" i="2"/>
  <c r="A38" i="2"/>
  <c r="A36" i="2"/>
  <c r="E50" i="2"/>
  <c r="I50" i="2"/>
  <c r="M50" i="2"/>
  <c r="Q50" i="2"/>
  <c r="F50" i="2"/>
  <c r="J50" i="2"/>
  <c r="N50" i="2"/>
  <c r="R50" i="2"/>
  <c r="V50" i="2"/>
  <c r="J36" i="1"/>
  <c r="M51" i="1"/>
  <c r="K36" i="1"/>
  <c r="O32" i="1"/>
  <c r="N33" i="1"/>
  <c r="N47" i="1"/>
  <c r="N48" i="1"/>
  <c r="N34" i="1"/>
  <c r="A50" i="2" l="1"/>
  <c r="A52" i="2"/>
  <c r="A53" i="2" s="1"/>
  <c r="B16" i="2" s="1"/>
  <c r="N36" i="1"/>
  <c r="P32" i="1"/>
  <c r="O33" i="1"/>
  <c r="O34" i="1"/>
  <c r="O48" i="1"/>
  <c r="O47" i="1"/>
  <c r="N51" i="1"/>
  <c r="B18" i="2" l="1"/>
  <c r="C16" i="2"/>
  <c r="C18" i="2" s="1"/>
  <c r="O51" i="1"/>
  <c r="O36" i="1"/>
  <c r="Q32" i="1"/>
  <c r="P34" i="1"/>
  <c r="P47" i="1"/>
  <c r="P33" i="1"/>
  <c r="P48" i="1"/>
  <c r="P51" i="1" s="1"/>
  <c r="R32" i="1" l="1"/>
  <c r="Q48" i="1"/>
  <c r="Q47" i="1"/>
  <c r="Q33" i="1"/>
  <c r="Q34" i="1"/>
  <c r="P36" i="1"/>
  <c r="Q51" i="1" l="1"/>
  <c r="Q36" i="1"/>
  <c r="S32" i="1"/>
  <c r="R33" i="1"/>
  <c r="R48" i="1"/>
  <c r="R34" i="1"/>
  <c r="R47" i="1"/>
  <c r="R36" i="1" l="1"/>
  <c r="R51" i="1"/>
  <c r="T32" i="1"/>
  <c r="S33" i="1"/>
  <c r="S34" i="1"/>
  <c r="S47" i="1"/>
  <c r="S48" i="1"/>
  <c r="S51" i="1" l="1"/>
  <c r="S36" i="1"/>
  <c r="U32" i="1"/>
  <c r="T34" i="1"/>
  <c r="T47" i="1"/>
  <c r="T33" i="1"/>
  <c r="T48" i="1"/>
  <c r="V32" i="1" l="1"/>
  <c r="U48" i="1"/>
  <c r="U34" i="1"/>
  <c r="U47" i="1"/>
  <c r="U33" i="1"/>
  <c r="T51" i="1"/>
  <c r="T36" i="1"/>
  <c r="U51" i="1" l="1"/>
  <c r="U36" i="1"/>
  <c r="V33" i="1"/>
  <c r="V47" i="1"/>
  <c r="V48" i="1"/>
  <c r="V34" i="1"/>
  <c r="V36" i="1" l="1"/>
  <c r="A38" i="1"/>
  <c r="V51" i="1"/>
  <c r="A53" i="1" s="1"/>
  <c r="A36" i="1"/>
  <c r="A54" i="1" l="1"/>
  <c r="B16" i="1" s="1"/>
  <c r="A51" i="1"/>
  <c r="C16" i="1" l="1"/>
  <c r="B17" i="1"/>
  <c r="C17" i="1" s="1"/>
  <c r="C18" i="1" l="1"/>
  <c r="B18" i="1"/>
</calcChain>
</file>

<file path=xl/comments1.xml><?xml version="1.0" encoding="utf-8"?>
<comments xmlns="http://schemas.openxmlformats.org/spreadsheetml/2006/main">
  <authors>
    <author>Windows User</author>
  </authors>
  <commentList>
    <comment ref="A48" authorId="0" shapeId="0">
      <text>
        <r>
          <rPr>
            <sz val="9"/>
            <color indexed="81"/>
            <rFont val="Tahoma"/>
            <family val="2"/>
          </rPr>
          <t>Insert annual escalator rate here.  If the intent is to maintain the rate at a fixed percentage (cell A50)below Standard Offer Service (cell C47), then insert 2% in cell A48 (which should match cell A47)</t>
        </r>
      </text>
    </comment>
  </commentList>
</comments>
</file>

<file path=xl/sharedStrings.xml><?xml version="1.0" encoding="utf-8"?>
<sst xmlns="http://schemas.openxmlformats.org/spreadsheetml/2006/main" count="183" uniqueCount="139">
  <si>
    <t>Items highlighted in yellow are variables</t>
  </si>
  <si>
    <t>Step-Down Case</t>
  </si>
  <si>
    <t>Size of LMI portion of the array (nearest kW)</t>
  </si>
  <si>
    <t>Discount Rate (Subscription Incentive)</t>
  </si>
  <si>
    <t>Subscription incentive (Test Case)</t>
  </si>
  <si>
    <t>Total incentive to Subscriber Organization</t>
  </si>
  <si>
    <t>Constants:</t>
  </si>
  <si>
    <t>Assumed kWh/kw</t>
  </si>
  <si>
    <t>cents/kWh</t>
  </si>
  <si>
    <t>Base Year</t>
  </si>
  <si>
    <t>Utility rate</t>
  </si>
  <si>
    <t>PPA rate</t>
  </si>
  <si>
    <t>Savings</t>
  </si>
  <si>
    <t>TEST CASE</t>
  </si>
  <si>
    <t>change from baseline /kWh</t>
  </si>
  <si>
    <t>STEP-DOWN CASE</t>
  </si>
  <si>
    <t>Stepdown Period (years)</t>
  </si>
  <si>
    <t>Stepdown  rate</t>
  </si>
  <si>
    <t>The step-down case assumes a linear decline of rate over a specified number of years until the energy rate is zero.</t>
  </si>
  <si>
    <t>Discount Rate</t>
  </si>
  <si>
    <t>Total Savings (cents/kWh)</t>
  </si>
  <si>
    <t>NPV Savings  (cents/kW installed)</t>
  </si>
  <si>
    <t>NPV Savings (cents/kWh)</t>
  </si>
  <si>
    <t>BASELINE CASE</t>
  </si>
  <si>
    <t>change from baseline cents/kWh</t>
  </si>
  <si>
    <t>Step Down Case</t>
  </si>
  <si>
    <t>Yearly rate increase</t>
  </si>
  <si>
    <t>Instructions:</t>
  </si>
  <si>
    <t xml:space="preserve">The Test Case assumes a fixed PPA rate escalation rate.  </t>
  </si>
  <si>
    <t>Test Case ($/kW for LMI)</t>
  </si>
  <si>
    <t>The baseline case assumes:</t>
  </si>
  <si>
    <t xml:space="preserve">     A 20 year PPA term</t>
  </si>
  <si>
    <t xml:space="preserve">     The actual cost of electricity increases 2.00%/year</t>
  </si>
  <si>
    <t xml:space="preserve">     The PPA cost escalator is 2.90%/year</t>
  </si>
  <si>
    <t xml:space="preserve">     The discount rate is 10.00%</t>
  </si>
  <si>
    <t>Subscription incentive</t>
  </si>
  <si>
    <t xml:space="preserve">The subscription incentive calculates the Net Present Value of the savings stream over a 20 year period and multiplies it by the size of the solar array dedicated to the LMI community.  </t>
  </si>
  <si>
    <t>Subscriber Organization Description</t>
  </si>
  <si>
    <t>Organization Name:</t>
  </si>
  <si>
    <t>Organization Subscriber ID No:</t>
  </si>
  <si>
    <t>Organization Address in Maryland:</t>
  </si>
  <si>
    <t xml:space="preserve">Organization Contact Info: </t>
  </si>
  <si>
    <t>CSEGS Project Description:</t>
  </si>
  <si>
    <t>Project Name:</t>
  </si>
  <si>
    <t>Project Number:</t>
  </si>
  <si>
    <t>Project Size:</t>
  </si>
  <si>
    <t>Project's Budgeted Annual Energy Output</t>
  </si>
  <si>
    <t>Other Terms &amp; Conditions</t>
  </si>
  <si>
    <t>Acknowledgements:</t>
  </si>
  <si>
    <t>Point of Contact phone number (office)</t>
  </si>
  <si>
    <t>Point of Contact phone number (mobile)</t>
  </si>
  <si>
    <t>Point of Contact e-mail address</t>
  </si>
  <si>
    <t>Project LMI set aside</t>
  </si>
  <si>
    <t>Date scheduled to produce creditable energy</t>
  </si>
  <si>
    <t>YES/NO</t>
  </si>
  <si>
    <t>PPA rate with annual escalator? (TEST CASE)</t>
  </si>
  <si>
    <t>Step-Down rate (STEP-DOWN CASE)</t>
  </si>
  <si>
    <t>Organization and method used to certify Low Income subscriber status</t>
  </si>
  <si>
    <t>Oganization and method used to certify Moderate Income subscriber status</t>
  </si>
  <si>
    <t>Low-to-Moderate Income Subscriber Verification</t>
  </si>
  <si>
    <t>Maryland Community LMI-PPA Grant Application</t>
  </si>
  <si>
    <t>Submit this spreadsheet with a signed cover letter to apply</t>
  </si>
  <si>
    <t>Provide actual values on Test Case or Step-Down Case worksheet</t>
  </si>
  <si>
    <t>Submitted by (Name)</t>
  </si>
  <si>
    <t xml:space="preserve">  Date</t>
  </si>
  <si>
    <t>Total Array Capacity</t>
  </si>
  <si>
    <t>Minimum Required LMI Array Size</t>
  </si>
  <si>
    <t>Stepdown reduction factor</t>
  </si>
  <si>
    <t>Organization Point of Contact Name</t>
  </si>
  <si>
    <t>Subscription Agreement rate information</t>
  </si>
  <si>
    <t>kW-dc</t>
  </si>
  <si>
    <t>Assumed rate of utility wholesale rate increase</t>
  </si>
  <si>
    <t>Baseline rate of PPA rate increase</t>
  </si>
  <si>
    <t>Year Zero Rate Reduction below Utility Rate</t>
  </si>
  <si>
    <t>Assumed rate of Utility retail rate increase</t>
  </si>
  <si>
    <t>Year Zero Rate Reduction below utility retail rate</t>
  </si>
  <si>
    <t>AVG SIZE</t>
  </si>
  <si>
    <t># people</t>
  </si>
  <si>
    <t>Hours/person</t>
  </si>
  <si>
    <t>Hours/month</t>
  </si>
  <si>
    <t>Percentage of month</t>
  </si>
  <si>
    <t>Maximum number of subscribers</t>
  </si>
  <si>
    <t>Cost to validate a subscriber</t>
  </si>
  <si>
    <t>per case review</t>
  </si>
  <si>
    <t>Validation Incentive</t>
  </si>
  <si>
    <t>Use either the Test Case, or the Step-Down Case.</t>
  </si>
  <si>
    <t xml:space="preserve">If something other than a fixed PPA escalation rate is contemplated, place the actual proposed rate schedule in cells </t>
  </si>
  <si>
    <t xml:space="preserve"> C48 to V48.</t>
  </si>
  <si>
    <t xml:space="preserve">     The community solar array achieves a production rate (kWh-ac/kW -dc installed) as specified in cell A22 (applicant selected) .</t>
  </si>
  <si>
    <t>The applicant is requested to input the following information for the Test Case:</t>
  </si>
  <si>
    <t>The total incentive can be found in cell B18.</t>
  </si>
  <si>
    <t>kilowatts (kW-dc)</t>
  </si>
  <si>
    <t>kilowatt-hours (kWh-ac)</t>
  </si>
  <si>
    <t>Verification Incentive</t>
  </si>
  <si>
    <t>kWh/year for the array for the LMI Subscribers</t>
  </si>
  <si>
    <t>kWh/year for the array for the LMI subscribers</t>
  </si>
  <si>
    <t>Base Case rate of PPA rate increase</t>
  </si>
  <si>
    <t>Base Case initial reduction below utility SOS rate</t>
  </si>
  <si>
    <t>Baseline - 15% discount</t>
  </si>
  <si>
    <t>Required Documents</t>
  </si>
  <si>
    <t>Subscriber Organization Certificate of Good Standing from SDAT</t>
  </si>
  <si>
    <t>Subscriber Organization / Applicant IRS Form W-9</t>
  </si>
  <si>
    <t>Solar Installer Certificate of Good Standing from SDAT</t>
  </si>
  <si>
    <t>Site plan, showing array location on the site</t>
  </si>
  <si>
    <t>Google Earth (or equivalent) map showing the location of the site with respect to the surrounding community</t>
  </si>
  <si>
    <t>PVWATTS, PVSYST (or equivalent) document showing expected energy production</t>
  </si>
  <si>
    <t>Proposed timeline</t>
  </si>
  <si>
    <t>Person who will sign the grant agreement - title</t>
  </si>
  <si>
    <t>Address of the physical array.  If the location has no street number, provide a description of surrounding streets and towns, or provide lat/long.</t>
  </si>
  <si>
    <t>Project Nickname:</t>
  </si>
  <si>
    <t>Project's Utility Service Area</t>
  </si>
  <si>
    <t xml:space="preserve">Community Solar category </t>
  </si>
  <si>
    <t>LMI or SBO</t>
  </si>
  <si>
    <t>Person authorized to sign grant - name</t>
  </si>
  <si>
    <t>County</t>
  </si>
  <si>
    <t>Version 3.0</t>
  </si>
  <si>
    <t>Community Solar Category</t>
  </si>
  <si>
    <t>LMI</t>
  </si>
  <si>
    <t>SBO</t>
  </si>
  <si>
    <t>Assumed kWh-ac/kW-dc</t>
  </si>
  <si>
    <t>LMI-PPA Incentive Calculator - TEST CASE</t>
  </si>
  <si>
    <t>LMI-PPA Incentive Calculator - STEP-DOWN CASE</t>
  </si>
  <si>
    <t>If the intention is to remain a fixed percentage (Cell A50) below the utility SOS rate (Cell C47), then match the PPA Rate (Cell A48) to the Utility Rate (Cell A47)</t>
  </si>
  <si>
    <t>The calculation compares the proposed Test Case rate structure and PPA term (Rows 47-54) against a Baseline Case (Rows 30-38) .</t>
  </si>
  <si>
    <t>Documentation showing calculation of cost of electricity to a resident for the utility service area.</t>
  </si>
  <si>
    <t>The validation incentive calculates $30 times the assumed number of LMI subscribers (350).</t>
  </si>
  <si>
    <t xml:space="preserve">     For the Test Case:  The offered PPA escalation rate in cell A48.  If the intention is to remain a fixed percentage (Cell A50) below the utility SOS rate (Cell C47), then match the PPA Rate (Cell A48) to the Utility Rate (Cell A47).  Alternatively, the actual rate structure can be input into cells C48 to V48.</t>
  </si>
  <si>
    <t>Test Case inputs are highlighted in yellow.     Fill out all cells in yellow:  A22,A48, A50 as well as C3, C4, C7, C9, and C47</t>
  </si>
  <si>
    <t>Step-Down Case inputs are highlighted in yellow.     Fill out all cells in yellow:  A22,A56, A58 as well as C3, C4, C7, C9, and C47</t>
  </si>
  <si>
    <t xml:space="preserve">    Cell C47 is the retail price of electricity (assuming standard-offer-service (SOS) in $/kWh.  This is normally calculated as the total bill ($) minus the Customer Charge minus the Universal Service Charge, divided by the kWh for the month.   Provide documentation to support this number.</t>
  </si>
  <si>
    <t xml:space="preserve">     For the Test Case:  The year zero rate reduction below the residential retail energy rate expressed as a percentage of the rate in cell A50</t>
  </si>
  <si>
    <t xml:space="preserve">     For the Step-Down Case:  The year zero rate reduction below the residential retail energy rate expressed as a percentage of the rate in cell A58</t>
  </si>
  <si>
    <t>The Step-Down case assumes a linear decline of rate over a specified number of years (Cell A56) until the energy rate is zero.</t>
  </si>
  <si>
    <t>*** Items highlighted in yellow are variables.  Change these numbers to fit the project ***</t>
  </si>
  <si>
    <t>MEA is encouraging the use of electronic applications to streamline processing and reduce environmental impacts. If you cannot apply electronically, please contact MEA no later than five (5) days prior to the application deadline to identify an alternative method to submit an application</t>
  </si>
  <si>
    <t xml:space="preserve">The Completion Package should be submitted electronically to MEA via email to: solar.mea@maryland.gov.  </t>
  </si>
  <si>
    <t>If specifically authorized by MEA, an applicant should mail the supporting documents to:</t>
  </si>
  <si>
    <t>Maryland Energy Administration
Attn: Solar Canopy Grant Program
1800 Washington Blvd.  Suite 755
Baltimore, MD 21230</t>
  </si>
  <si>
    <t>Application Package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</si>
</sst>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3" formatCode="_(* #,##0.00_);_(* \(#,##0.00\);_(* &quot;-&quot;??_);_(@_)"/>
    <numFmt numFmtId="164" formatCode="0.0000"/>
    <numFmt numFmtId="165" formatCode="#,##0.000_);[Red]\(#,##0.000\)"/>
    <numFmt numFmtId="166" formatCode="#,##0.0000_);[Red]\(#,##0.0000\)"/>
    <numFmt numFmtId="167" formatCode="_(* #,##0_);_(* \(#,##0\);_(* &quot;-&quot;??_);_(@_)"/>
    <numFmt numFmtId="168" formatCode="_(* #,##0.000_);_(* \(#,##0.000\);_(* &quot;-&quot;??_);_(@_)"/>
    <numFmt numFmtId="169" formatCode="0.000%"/>
    <numFmt numFmtId="170" formatCode="&quot;$&quot;#,##0.00"/>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i/>
      <sz val="11"/>
      <color theme="4" tint="-0.499984740745262"/>
      <name val="Calibri"/>
      <family val="2"/>
      <scheme val="minor"/>
    </font>
    <font>
      <b/>
      <sz val="14"/>
      <color theme="1"/>
      <name val="Calibri"/>
      <family val="2"/>
      <scheme val="minor"/>
    </font>
    <font>
      <sz val="14"/>
      <color theme="1"/>
      <name val="Calibri"/>
      <family val="2"/>
      <scheme val="minor"/>
    </font>
    <font>
      <b/>
      <sz val="11"/>
      <color rgb="FFFF0000"/>
      <name val="Calibri"/>
      <family val="2"/>
      <scheme val="minor"/>
    </font>
    <font>
      <sz val="9"/>
      <color indexed="81"/>
      <name val="Tahoma"/>
      <family val="2"/>
    </font>
    <font>
      <b/>
      <sz val="14"/>
      <color rgb="FF0070C0"/>
      <name val="Calibri"/>
      <family val="2"/>
      <scheme val="minor"/>
    </font>
    <font>
      <sz val="12"/>
      <color theme="1"/>
      <name val="Calibri"/>
      <family val="2"/>
      <scheme val="minor"/>
    </font>
    <font>
      <sz val="11"/>
      <name val="Calibri"/>
      <family val="2"/>
      <scheme val="minor"/>
    </font>
    <font>
      <sz val="14"/>
      <name val="Calibri"/>
      <family val="2"/>
      <scheme val="minor"/>
    </font>
    <font>
      <b/>
      <sz val="12"/>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CE4D6"/>
        <bgColor indexed="64"/>
      </patternFill>
    </fill>
    <fill>
      <patternFill patternType="solid">
        <fgColor theme="0" tint="-0.14996795556505021"/>
        <bgColor indexed="64"/>
      </patternFill>
    </fill>
  </fills>
  <borders count="7">
    <border>
      <left/>
      <right/>
      <top/>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00">
    <xf numFmtId="0" fontId="0" fillId="0" borderId="0" xfId="0"/>
    <xf numFmtId="10" fontId="0" fillId="0" borderId="0" xfId="0" applyNumberFormat="1"/>
    <xf numFmtId="38" fontId="0" fillId="2" borderId="0" xfId="0" applyNumberFormat="1" applyFill="1"/>
    <xf numFmtId="38" fontId="0" fillId="3" borderId="0" xfId="0" applyNumberFormat="1" applyFill="1"/>
    <xf numFmtId="0" fontId="0" fillId="2" borderId="0" xfId="0" applyFill="1"/>
    <xf numFmtId="10" fontId="0" fillId="3" borderId="0" xfId="0" applyNumberFormat="1" applyFill="1"/>
    <xf numFmtId="10" fontId="0" fillId="2" borderId="0" xfId="0" applyNumberFormat="1" applyFill="1"/>
    <xf numFmtId="9" fontId="0" fillId="2" borderId="0" xfId="0" applyNumberFormat="1" applyFill="1"/>
    <xf numFmtId="6" fontId="0" fillId="0" borderId="0" xfId="0" applyNumberFormat="1" applyFill="1"/>
    <xf numFmtId="8" fontId="0" fillId="4" borderId="0" xfId="0" applyNumberFormat="1" applyFill="1"/>
    <xf numFmtId="6" fontId="0" fillId="0" borderId="1" xfId="0" applyNumberFormat="1" applyFill="1" applyBorder="1"/>
    <xf numFmtId="0" fontId="0" fillId="0" borderId="0" xfId="0" applyFill="1"/>
    <xf numFmtId="6" fontId="0" fillId="0" borderId="0" xfId="0" applyNumberFormat="1"/>
    <xf numFmtId="164" fontId="0" fillId="0" borderId="0" xfId="0" applyNumberFormat="1"/>
    <xf numFmtId="38" fontId="0" fillId="0" borderId="0" xfId="0" applyNumberFormat="1"/>
    <xf numFmtId="165" fontId="0" fillId="0" borderId="0" xfId="0" applyNumberFormat="1"/>
    <xf numFmtId="0" fontId="0" fillId="3" borderId="0" xfId="0" applyFill="1"/>
    <xf numFmtId="8" fontId="0" fillId="0" borderId="0" xfId="0" applyNumberFormat="1"/>
    <xf numFmtId="10" fontId="0" fillId="0" borderId="0" xfId="0" applyNumberFormat="1" applyFill="1"/>
    <xf numFmtId="38" fontId="0" fillId="0" borderId="0" xfId="0" applyNumberFormat="1" applyFill="1"/>
    <xf numFmtId="166" fontId="0" fillId="0" borderId="0" xfId="0" applyNumberFormat="1"/>
    <xf numFmtId="0" fontId="0" fillId="6" borderId="0" xfId="0" applyFill="1"/>
    <xf numFmtId="9" fontId="0" fillId="0" borderId="0" xfId="0" applyNumberFormat="1"/>
    <xf numFmtId="9" fontId="0" fillId="0" borderId="0" xfId="0" applyNumberFormat="1" applyFill="1"/>
    <xf numFmtId="10" fontId="0" fillId="6" borderId="0" xfId="0" applyNumberFormat="1" applyFill="1"/>
    <xf numFmtId="165" fontId="0" fillId="6" borderId="0" xfId="0" applyNumberFormat="1" applyFill="1"/>
    <xf numFmtId="9" fontId="0" fillId="6" borderId="0" xfId="0" applyNumberFormat="1" applyFill="1"/>
    <xf numFmtId="166" fontId="0" fillId="9" borderId="0" xfId="0" applyNumberFormat="1" applyFill="1"/>
    <xf numFmtId="8" fontId="0" fillId="8" borderId="0" xfId="0" applyNumberFormat="1" applyFill="1"/>
    <xf numFmtId="6" fontId="0" fillId="8" borderId="0" xfId="0" applyNumberFormat="1" applyFill="1"/>
    <xf numFmtId="8" fontId="0" fillId="4" borderId="1" xfId="0" applyNumberFormat="1" applyFill="1" applyBorder="1"/>
    <xf numFmtId="6" fontId="0" fillId="0" borderId="0" xfId="0" applyNumberFormat="1" applyBorder="1"/>
    <xf numFmtId="0" fontId="0" fillId="0" borderId="0" xfId="0" applyBorder="1"/>
    <xf numFmtId="8" fontId="0" fillId="0" borderId="0" xfId="0" applyNumberFormat="1" applyFill="1"/>
    <xf numFmtId="10" fontId="0" fillId="0" borderId="0" xfId="0" applyNumberFormat="1" applyFill="1" applyAlignment="1">
      <alignment horizontal="right"/>
    </xf>
    <xf numFmtId="0" fontId="0" fillId="0" borderId="0" xfId="0" applyAlignment="1">
      <alignment horizontal="right"/>
    </xf>
    <xf numFmtId="0" fontId="0" fillId="0" borderId="0" xfId="0" applyFill="1" applyBorder="1"/>
    <xf numFmtId="6" fontId="0" fillId="3" borderId="0" xfId="0" applyNumberFormat="1" applyFill="1"/>
    <xf numFmtId="0" fontId="0" fillId="8" borderId="0" xfId="0" applyFill="1"/>
    <xf numFmtId="0" fontId="0" fillId="4" borderId="0" xfId="0" applyFill="1" applyAlignment="1">
      <alignment wrapText="1"/>
    </xf>
    <xf numFmtId="6" fontId="0" fillId="0" borderId="0" xfId="0" applyNumberFormat="1" applyFill="1" applyBorder="1"/>
    <xf numFmtId="8" fontId="0" fillId="0" borderId="0" xfId="0" applyNumberFormat="1" applyFill="1" applyBorder="1"/>
    <xf numFmtId="0" fontId="0" fillId="0" borderId="0" xfId="0"/>
    <xf numFmtId="0" fontId="0" fillId="7" borderId="4" xfId="0" applyFill="1" applyBorder="1" applyAlignment="1"/>
    <xf numFmtId="0" fontId="0" fillId="0" borderId="0" xfId="0"/>
    <xf numFmtId="0" fontId="0" fillId="5" borderId="0" xfId="0" applyFill="1"/>
    <xf numFmtId="0" fontId="2" fillId="5" borderId="0" xfId="0" applyFont="1" applyFill="1"/>
    <xf numFmtId="167" fontId="0" fillId="7" borderId="2" xfId="1" applyNumberFormat="1" applyFont="1" applyFill="1" applyBorder="1" applyAlignment="1">
      <alignment horizontal="right"/>
    </xf>
    <xf numFmtId="10" fontId="0" fillId="7" borderId="2" xfId="0" applyNumberFormat="1" applyFill="1" applyBorder="1"/>
    <xf numFmtId="168" fontId="0" fillId="7" borderId="2" xfId="1" applyNumberFormat="1" applyFont="1" applyFill="1" applyBorder="1"/>
    <xf numFmtId="167" fontId="0" fillId="7" borderId="5" xfId="1" applyNumberFormat="1" applyFont="1" applyFill="1" applyBorder="1" applyAlignment="1">
      <alignment horizontal="right"/>
    </xf>
    <xf numFmtId="167" fontId="0" fillId="5" borderId="0" xfId="1" applyNumberFormat="1" applyFont="1" applyFill="1" applyAlignment="1">
      <alignment horizontal="left" indent="1"/>
    </xf>
    <xf numFmtId="0" fontId="6" fillId="5" borderId="0" xfId="0" applyFont="1" applyFill="1"/>
    <xf numFmtId="43" fontId="4" fillId="0" borderId="0" xfId="1" applyFont="1" applyAlignment="1">
      <alignment horizontal="left" vertical="top" wrapText="1" indent="1"/>
    </xf>
    <xf numFmtId="0" fontId="0" fillId="7" borderId="3" xfId="0" applyFill="1" applyBorder="1" applyAlignment="1"/>
    <xf numFmtId="0" fontId="7" fillId="0" borderId="0" xfId="0" applyFont="1"/>
    <xf numFmtId="0" fontId="0" fillId="0" borderId="0" xfId="0" applyAlignment="1">
      <alignment horizontal="center"/>
    </xf>
    <xf numFmtId="10" fontId="0" fillId="10" borderId="0" xfId="0" applyNumberFormat="1" applyFill="1"/>
    <xf numFmtId="0" fontId="0" fillId="2" borderId="0" xfId="0" applyFill="1" applyAlignment="1">
      <alignment horizontal="center"/>
    </xf>
    <xf numFmtId="169" fontId="0" fillId="6" borderId="0" xfId="0" applyNumberFormat="1" applyFill="1"/>
    <xf numFmtId="2" fontId="0" fillId="6" borderId="0" xfId="0" applyNumberFormat="1" applyFill="1"/>
    <xf numFmtId="0" fontId="0" fillId="0" borderId="0" xfId="0" applyAlignment="1">
      <alignment wrapText="1"/>
    </xf>
    <xf numFmtId="170" fontId="0" fillId="0" borderId="0" xfId="0" applyNumberFormat="1"/>
    <xf numFmtId="168" fontId="0" fillId="0" borderId="0" xfId="1" applyNumberFormat="1" applyFont="1" applyFill="1" applyBorder="1"/>
    <xf numFmtId="0" fontId="7" fillId="5" borderId="0" xfId="0" applyFont="1" applyFill="1" applyAlignment="1">
      <alignment horizontal="left"/>
    </xf>
    <xf numFmtId="167" fontId="0" fillId="7" borderId="0" xfId="1" applyNumberFormat="1" applyFont="1" applyFill="1" applyBorder="1" applyAlignment="1">
      <alignment horizontal="right"/>
    </xf>
    <xf numFmtId="0" fontId="2" fillId="0" borderId="0" xfId="0" applyFont="1"/>
    <xf numFmtId="0" fontId="0" fillId="5" borderId="2" xfId="0" applyFill="1" applyBorder="1"/>
    <xf numFmtId="0" fontId="0" fillId="5" borderId="2" xfId="0" applyFill="1" applyBorder="1" applyAlignment="1">
      <alignment wrapText="1"/>
    </xf>
    <xf numFmtId="0" fontId="0" fillId="5" borderId="2" xfId="0" applyFill="1" applyBorder="1" applyAlignment="1">
      <alignment horizontal="left"/>
    </xf>
    <xf numFmtId="0" fontId="0" fillId="0" borderId="2" xfId="0" applyBorder="1"/>
    <xf numFmtId="0" fontId="0" fillId="5" borderId="2" xfId="0" applyFont="1" applyFill="1" applyBorder="1" applyAlignment="1">
      <alignment horizontal="left" indent="1"/>
    </xf>
    <xf numFmtId="0" fontId="0" fillId="3" borderId="0" xfId="0" applyFill="1" applyAlignment="1">
      <alignment horizontal="center"/>
    </xf>
    <xf numFmtId="0" fontId="0" fillId="0" borderId="0" xfId="0" applyAlignment="1">
      <alignment horizontal="center" vertical="center"/>
    </xf>
    <xf numFmtId="0" fontId="0" fillId="2" borderId="0" xfId="0" applyFill="1" applyAlignment="1">
      <alignment wrapText="1"/>
    </xf>
    <xf numFmtId="0" fontId="2" fillId="2" borderId="0" xfId="0" applyFont="1" applyFill="1"/>
    <xf numFmtId="0" fontId="0" fillId="7" borderId="6" xfId="0" applyFill="1" applyBorder="1" applyAlignment="1">
      <alignment wrapText="1"/>
    </xf>
    <xf numFmtId="0" fontId="0" fillId="0" borderId="4" xfId="0" applyBorder="1" applyAlignment="1">
      <alignment wrapText="1"/>
    </xf>
    <xf numFmtId="0" fontId="0" fillId="11" borderId="3" xfId="0" applyFill="1" applyBorder="1" applyAlignment="1"/>
    <xf numFmtId="0" fontId="0" fillId="11" borderId="4" xfId="0" applyFill="1" applyBorder="1" applyAlignment="1"/>
    <xf numFmtId="0" fontId="0" fillId="7" borderId="3" xfId="0" applyFill="1" applyBorder="1" applyAlignment="1">
      <alignment vertical="top" wrapText="1"/>
    </xf>
    <xf numFmtId="0" fontId="0" fillId="0" borderId="4" xfId="0" applyBorder="1" applyAlignment="1">
      <alignment vertical="top" wrapText="1"/>
    </xf>
    <xf numFmtId="0" fontId="5" fillId="5" borderId="0" xfId="0" applyFont="1" applyFill="1" applyAlignment="1">
      <alignment horizontal="center" vertical="center"/>
    </xf>
    <xf numFmtId="0" fontId="6" fillId="0" borderId="0" xfId="0" applyFont="1" applyAlignment="1">
      <alignment horizontal="center" vertical="center"/>
    </xf>
    <xf numFmtId="0" fontId="5" fillId="5" borderId="0" xfId="0" quotePrefix="1" applyFont="1" applyFill="1" applyAlignment="1">
      <alignment horizontal="center" vertical="center" wrapText="1"/>
    </xf>
    <xf numFmtId="0" fontId="6" fillId="0" borderId="0" xfId="0" applyFont="1" applyAlignment="1">
      <alignment horizontal="center" vertical="center" wrapText="1"/>
    </xf>
    <xf numFmtId="0" fontId="0" fillId="7" borderId="3" xfId="0" applyFill="1" applyBorder="1" applyAlignment="1"/>
    <xf numFmtId="0" fontId="0" fillId="0" borderId="4" xfId="0" applyBorder="1" applyAlignment="1"/>
    <xf numFmtId="0" fontId="3" fillId="7" borderId="3" xfId="2" applyFill="1" applyBorder="1" applyAlignment="1"/>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11"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center" vertical="top" wrapText="1"/>
    </xf>
    <xf numFmtId="0" fontId="11" fillId="0" borderId="0" xfId="0" applyFont="1" applyAlignment="1">
      <alignment horizontal="center" vertical="top" wrapText="1"/>
    </xf>
    <xf numFmtId="0" fontId="13" fillId="0" borderId="0" xfId="0" applyFont="1" applyBorder="1" applyAlignment="1">
      <alignment horizontal="center" vertical="top" wrapText="1"/>
    </xf>
    <xf numFmtId="0" fontId="0" fillId="0" borderId="0" xfId="0" applyAlignment="1">
      <alignment horizontal="left" vertical="top" wrapText="1"/>
    </xf>
    <xf numFmtId="0" fontId="10" fillId="0" borderId="0" xfId="0" applyFont="1" applyAlignment="1">
      <alignment horizontal="center" vertical="top" wrapText="1"/>
    </xf>
    <xf numFmtId="0" fontId="9" fillId="0" borderId="0" xfId="0" applyFont="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tabSelected="1" topLeftCell="A64" workbookViewId="0">
      <selection activeCell="D73" sqref="D73"/>
    </sheetView>
  </sheetViews>
  <sheetFormatPr defaultRowHeight="15" x14ac:dyDescent="0.25"/>
  <cols>
    <col min="3" max="3" width="46" customWidth="1"/>
    <col min="4" max="4" width="24.85546875" customWidth="1"/>
  </cols>
  <sheetData>
    <row r="1" spans="1:6" ht="18.75" x14ac:dyDescent="0.3">
      <c r="A1" s="42"/>
      <c r="B1" s="82" t="s">
        <v>60</v>
      </c>
      <c r="C1" s="83"/>
      <c r="D1" s="83"/>
      <c r="E1" s="83"/>
      <c r="F1" s="52"/>
    </row>
    <row r="2" spans="1:6" ht="18.75" x14ac:dyDescent="0.3">
      <c r="A2" s="42"/>
      <c r="B2" s="84" t="s">
        <v>61</v>
      </c>
      <c r="C2" s="85"/>
      <c r="D2" s="85"/>
      <c r="E2" s="85"/>
      <c r="F2" s="52"/>
    </row>
    <row r="3" spans="1:6" x14ac:dyDescent="0.25">
      <c r="A3" s="42"/>
      <c r="B3" s="42"/>
      <c r="C3" s="42"/>
      <c r="D3" s="42"/>
      <c r="E3" s="42"/>
      <c r="F3" s="42"/>
    </row>
    <row r="4" spans="1:6" x14ac:dyDescent="0.25">
      <c r="A4" s="42"/>
      <c r="B4" s="46" t="s">
        <v>37</v>
      </c>
      <c r="C4" s="44"/>
      <c r="D4" s="44"/>
      <c r="E4" s="44"/>
      <c r="F4" s="44"/>
    </row>
    <row r="5" spans="1:6" x14ac:dyDescent="0.25">
      <c r="A5" s="42"/>
      <c r="B5" s="44"/>
      <c r="C5" s="67" t="s">
        <v>38</v>
      </c>
      <c r="D5" s="86"/>
      <c r="E5" s="87"/>
      <c r="F5" s="44"/>
    </row>
    <row r="6" spans="1:6" x14ac:dyDescent="0.25">
      <c r="A6" s="42"/>
      <c r="B6" s="44"/>
      <c r="C6" s="67" t="s">
        <v>39</v>
      </c>
      <c r="D6" s="86"/>
      <c r="E6" s="87"/>
      <c r="F6" s="44"/>
    </row>
    <row r="7" spans="1:6" x14ac:dyDescent="0.25">
      <c r="A7" s="42"/>
      <c r="B7" s="44"/>
      <c r="C7" s="67" t="s">
        <v>40</v>
      </c>
      <c r="D7" s="86"/>
      <c r="E7" s="87"/>
      <c r="F7" s="44"/>
    </row>
    <row r="8" spans="1:6" s="44" customFormat="1" x14ac:dyDescent="0.25">
      <c r="C8" s="67" t="s">
        <v>68</v>
      </c>
      <c r="D8" s="54"/>
      <c r="E8" s="43"/>
    </row>
    <row r="9" spans="1:6" s="44" customFormat="1" x14ac:dyDescent="0.25">
      <c r="C9" s="67" t="s">
        <v>49</v>
      </c>
      <c r="D9" s="54"/>
      <c r="E9" s="43"/>
    </row>
    <row r="10" spans="1:6" s="44" customFormat="1" x14ac:dyDescent="0.25">
      <c r="C10" s="67" t="s">
        <v>50</v>
      </c>
      <c r="D10" s="54"/>
      <c r="E10" s="43"/>
    </row>
    <row r="11" spans="1:6" s="44" customFormat="1" x14ac:dyDescent="0.25">
      <c r="C11" s="67" t="s">
        <v>51</v>
      </c>
      <c r="D11" s="54"/>
      <c r="E11" s="43"/>
    </row>
    <row r="12" spans="1:6" x14ac:dyDescent="0.25">
      <c r="A12" s="42"/>
      <c r="B12" s="44"/>
      <c r="C12" s="67" t="s">
        <v>41</v>
      </c>
      <c r="D12" s="88"/>
      <c r="E12" s="87"/>
      <c r="F12" s="44"/>
    </row>
    <row r="13" spans="1:6" s="44" customFormat="1" x14ac:dyDescent="0.25">
      <c r="C13" s="67" t="s">
        <v>113</v>
      </c>
      <c r="D13" s="88"/>
      <c r="E13" s="87"/>
    </row>
    <row r="14" spans="1:6" s="44" customFormat="1" x14ac:dyDescent="0.25">
      <c r="C14" s="67" t="s">
        <v>107</v>
      </c>
      <c r="D14" s="88"/>
      <c r="E14" s="87"/>
    </row>
    <row r="15" spans="1:6" x14ac:dyDescent="0.25">
      <c r="A15" s="42"/>
      <c r="B15" s="42"/>
      <c r="C15" s="42"/>
      <c r="D15" s="42"/>
      <c r="E15" s="42"/>
      <c r="F15" s="42"/>
    </row>
    <row r="16" spans="1:6" x14ac:dyDescent="0.25">
      <c r="A16" s="42"/>
      <c r="B16" s="46" t="s">
        <v>42</v>
      </c>
      <c r="C16" s="44"/>
      <c r="D16" s="44"/>
      <c r="E16" s="44"/>
      <c r="F16" s="44"/>
    </row>
    <row r="17" spans="1:6" x14ac:dyDescent="0.25">
      <c r="A17" s="42"/>
      <c r="B17" s="44"/>
      <c r="C17" s="67" t="s">
        <v>43</v>
      </c>
      <c r="D17" s="86"/>
      <c r="E17" s="87"/>
      <c r="F17" s="44"/>
    </row>
    <row r="18" spans="1:6" s="44" customFormat="1" x14ac:dyDescent="0.25">
      <c r="C18" s="67" t="s">
        <v>109</v>
      </c>
      <c r="D18" s="86"/>
      <c r="E18" s="87"/>
    </row>
    <row r="19" spans="1:6" x14ac:dyDescent="0.25">
      <c r="A19" s="42"/>
      <c r="B19" s="44"/>
      <c r="C19" s="67" t="s">
        <v>44</v>
      </c>
      <c r="D19" s="86"/>
      <c r="E19" s="87"/>
      <c r="F19" s="44"/>
    </row>
    <row r="20" spans="1:6" x14ac:dyDescent="0.25">
      <c r="A20" s="42"/>
      <c r="B20" s="44"/>
      <c r="C20" s="67" t="s">
        <v>110</v>
      </c>
      <c r="D20" s="86"/>
      <c r="E20" s="87"/>
      <c r="F20" s="44"/>
    </row>
    <row r="21" spans="1:6" x14ac:dyDescent="0.25">
      <c r="A21" s="42"/>
      <c r="B21" s="44"/>
      <c r="C21" s="67" t="s">
        <v>45</v>
      </c>
      <c r="D21" s="50"/>
      <c r="E21" s="51" t="s">
        <v>91</v>
      </c>
      <c r="F21" s="44"/>
    </row>
    <row r="22" spans="1:6" x14ac:dyDescent="0.25">
      <c r="A22" s="42"/>
      <c r="B22" s="44"/>
      <c r="C22" s="67" t="s">
        <v>46</v>
      </c>
      <c r="D22" s="47"/>
      <c r="E22" s="51" t="s">
        <v>92</v>
      </c>
      <c r="F22" s="44"/>
    </row>
    <row r="23" spans="1:6" s="44" customFormat="1" x14ac:dyDescent="0.25">
      <c r="C23" s="67" t="s">
        <v>111</v>
      </c>
      <c r="D23" s="47"/>
      <c r="E23" s="51" t="s">
        <v>112</v>
      </c>
    </row>
    <row r="24" spans="1:6" s="44" customFormat="1" x14ac:dyDescent="0.25">
      <c r="C24" s="67" t="s">
        <v>52</v>
      </c>
      <c r="D24" s="47"/>
      <c r="E24" s="51" t="s">
        <v>91</v>
      </c>
    </row>
    <row r="25" spans="1:6" s="44" customFormat="1" x14ac:dyDescent="0.25">
      <c r="C25" s="67" t="s">
        <v>53</v>
      </c>
      <c r="D25" s="47"/>
      <c r="E25" s="51"/>
    </row>
    <row r="26" spans="1:6" s="44" customFormat="1" ht="60" x14ac:dyDescent="0.25">
      <c r="C26" s="68" t="s">
        <v>108</v>
      </c>
      <c r="D26" s="47"/>
      <c r="E26" s="51"/>
    </row>
    <row r="27" spans="1:6" s="44" customFormat="1" x14ac:dyDescent="0.25">
      <c r="C27" s="67" t="s">
        <v>114</v>
      </c>
      <c r="D27" s="47"/>
      <c r="E27" s="51"/>
    </row>
    <row r="28" spans="1:6" s="44" customFormat="1" x14ac:dyDescent="0.25">
      <c r="C28" s="45"/>
      <c r="D28" s="65"/>
      <c r="E28" s="51"/>
    </row>
    <row r="29" spans="1:6" x14ac:dyDescent="0.25">
      <c r="A29" s="42"/>
      <c r="B29" s="44"/>
      <c r="C29" s="44"/>
      <c r="D29" s="44"/>
      <c r="E29" s="51"/>
      <c r="F29" s="44"/>
    </row>
    <row r="30" spans="1:6" x14ac:dyDescent="0.25">
      <c r="A30" s="42"/>
      <c r="B30" s="46" t="s">
        <v>69</v>
      </c>
      <c r="C30" s="44"/>
      <c r="D30" s="44"/>
      <c r="E30" s="51"/>
      <c r="F30" s="44"/>
    </row>
    <row r="31" spans="1:6" x14ac:dyDescent="0.25">
      <c r="A31" s="42"/>
      <c r="B31" s="44"/>
      <c r="C31" s="69" t="s">
        <v>55</v>
      </c>
      <c r="D31" s="48" t="s">
        <v>54</v>
      </c>
      <c r="E31" s="51"/>
      <c r="F31" s="44"/>
    </row>
    <row r="32" spans="1:6" x14ac:dyDescent="0.25">
      <c r="A32" s="42"/>
      <c r="B32" s="44"/>
      <c r="C32" s="69" t="s">
        <v>56</v>
      </c>
      <c r="D32" s="49" t="s">
        <v>54</v>
      </c>
      <c r="E32" s="51"/>
      <c r="F32" s="44"/>
    </row>
    <row r="33" spans="1:6" s="44" customFormat="1" x14ac:dyDescent="0.25">
      <c r="C33" s="64" t="s">
        <v>62</v>
      </c>
      <c r="D33" s="63"/>
      <c r="E33" s="51"/>
    </row>
    <row r="34" spans="1:6" x14ac:dyDescent="0.25">
      <c r="A34" s="42"/>
      <c r="B34" s="44"/>
      <c r="C34" s="55"/>
      <c r="D34" s="44"/>
      <c r="E34" s="53"/>
      <c r="F34" s="44"/>
    </row>
    <row r="35" spans="1:6" x14ac:dyDescent="0.25">
      <c r="A35" s="42"/>
      <c r="B35" s="44"/>
      <c r="C35" s="44"/>
      <c r="D35" s="44"/>
      <c r="E35" s="53"/>
      <c r="F35" s="44"/>
    </row>
    <row r="36" spans="1:6" x14ac:dyDescent="0.25">
      <c r="A36" s="42"/>
      <c r="B36" s="46" t="s">
        <v>59</v>
      </c>
      <c r="C36" s="44"/>
      <c r="D36" s="44"/>
      <c r="E36" s="51"/>
      <c r="F36" s="44"/>
    </row>
    <row r="37" spans="1:6" ht="30" x14ac:dyDescent="0.25">
      <c r="A37" s="42"/>
      <c r="B37" s="44"/>
      <c r="C37" s="68" t="s">
        <v>57</v>
      </c>
      <c r="D37" s="76"/>
      <c r="E37" s="77"/>
      <c r="F37" s="44"/>
    </row>
    <row r="38" spans="1:6" ht="30" x14ac:dyDescent="0.25">
      <c r="A38" s="42"/>
      <c r="B38" s="44"/>
      <c r="C38" s="68" t="s">
        <v>58</v>
      </c>
      <c r="D38" s="76"/>
      <c r="E38" s="77"/>
      <c r="F38" s="44"/>
    </row>
    <row r="39" spans="1:6" x14ac:dyDescent="0.25">
      <c r="A39" s="42"/>
      <c r="B39" s="44"/>
      <c r="C39" s="70"/>
      <c r="D39" s="44"/>
      <c r="E39" s="44"/>
      <c r="F39" s="42"/>
    </row>
    <row r="40" spans="1:6" x14ac:dyDescent="0.25">
      <c r="A40" s="42"/>
      <c r="B40" s="44"/>
      <c r="C40" s="67" t="s">
        <v>47</v>
      </c>
      <c r="D40" s="80"/>
      <c r="E40" s="81"/>
      <c r="F40" s="42"/>
    </row>
    <row r="41" spans="1:6" x14ac:dyDescent="0.25">
      <c r="A41" s="44"/>
      <c r="B41" s="44"/>
      <c r="C41" s="44"/>
      <c r="D41" s="44"/>
      <c r="E41" s="51"/>
      <c r="F41" s="42"/>
    </row>
    <row r="42" spans="1:6" x14ac:dyDescent="0.25">
      <c r="A42" s="44"/>
      <c r="B42" s="46" t="s">
        <v>48</v>
      </c>
      <c r="C42" s="44"/>
      <c r="D42" s="44"/>
      <c r="E42" s="44"/>
      <c r="F42" s="42"/>
    </row>
    <row r="43" spans="1:6" x14ac:dyDescent="0.25">
      <c r="A43" s="44"/>
      <c r="C43" s="71" t="s">
        <v>63</v>
      </c>
      <c r="D43" s="78"/>
      <c r="E43" s="79"/>
      <c r="F43" s="42"/>
    </row>
    <row r="44" spans="1:6" x14ac:dyDescent="0.25">
      <c r="A44" s="42"/>
      <c r="C44" s="70" t="s">
        <v>64</v>
      </c>
      <c r="D44" s="78"/>
      <c r="E44" s="79"/>
      <c r="F44" s="42"/>
    </row>
    <row r="49" spans="2:12" x14ac:dyDescent="0.25">
      <c r="B49" s="66" t="s">
        <v>99</v>
      </c>
    </row>
    <row r="50" spans="2:12" x14ac:dyDescent="0.25">
      <c r="B50" s="73">
        <v>1</v>
      </c>
      <c r="C50" t="s">
        <v>100</v>
      </c>
    </row>
    <row r="51" spans="2:12" x14ac:dyDescent="0.25">
      <c r="B51" s="73">
        <v>2</v>
      </c>
      <c r="C51" t="s">
        <v>101</v>
      </c>
    </row>
    <row r="52" spans="2:12" x14ac:dyDescent="0.25">
      <c r="B52" s="73">
        <v>3</v>
      </c>
      <c r="C52" t="s">
        <v>102</v>
      </c>
    </row>
    <row r="53" spans="2:12" x14ac:dyDescent="0.25">
      <c r="B53" s="73">
        <v>4</v>
      </c>
      <c r="C53" t="s">
        <v>103</v>
      </c>
    </row>
    <row r="54" spans="2:12" ht="45" x14ac:dyDescent="0.25">
      <c r="B54" s="73">
        <v>5</v>
      </c>
      <c r="C54" s="61" t="s">
        <v>104</v>
      </c>
    </row>
    <row r="55" spans="2:12" ht="30" x14ac:dyDescent="0.25">
      <c r="B55" s="73">
        <v>6</v>
      </c>
      <c r="C55" s="61" t="s">
        <v>105</v>
      </c>
    </row>
    <row r="56" spans="2:12" x14ac:dyDescent="0.25">
      <c r="B56" s="73">
        <v>7</v>
      </c>
      <c r="C56" t="s">
        <v>106</v>
      </c>
    </row>
    <row r="57" spans="2:12" ht="32.25" customHeight="1" x14ac:dyDescent="0.25">
      <c r="B57" s="73">
        <v>8</v>
      </c>
      <c r="C57" s="61" t="s">
        <v>124</v>
      </c>
    </row>
    <row r="58" spans="2:12" x14ac:dyDescent="0.25">
      <c r="B58" s="73">
        <v>9</v>
      </c>
    </row>
    <row r="59" spans="2:12" s="44" customFormat="1" x14ac:dyDescent="0.25">
      <c r="B59" s="73"/>
    </row>
    <row r="60" spans="2:12" s="44" customFormat="1" ht="28.5" customHeight="1" x14ac:dyDescent="0.25">
      <c r="B60" s="99" t="s">
        <v>138</v>
      </c>
      <c r="C60" s="89"/>
      <c r="D60" s="89"/>
      <c r="E60" s="98"/>
      <c r="F60" s="98"/>
      <c r="G60" s="98"/>
      <c r="H60" s="98"/>
      <c r="I60" s="98"/>
      <c r="J60" s="98"/>
      <c r="K60" s="61"/>
      <c r="L60" s="61"/>
    </row>
    <row r="61" spans="2:12" s="44" customFormat="1" ht="71.25" customHeight="1" x14ac:dyDescent="0.25">
      <c r="B61" s="92" t="s">
        <v>134</v>
      </c>
      <c r="C61" s="93"/>
      <c r="D61" s="93"/>
      <c r="E61" s="97"/>
      <c r="F61" s="97"/>
      <c r="G61" s="97"/>
      <c r="H61" s="97"/>
      <c r="I61" s="97"/>
      <c r="J61" s="97"/>
      <c r="K61" s="97"/>
      <c r="L61" s="97"/>
    </row>
    <row r="62" spans="2:12" s="44" customFormat="1" ht="54" customHeight="1" x14ac:dyDescent="0.25">
      <c r="B62" s="94" t="s">
        <v>135</v>
      </c>
      <c r="C62" s="89"/>
      <c r="D62" s="89"/>
      <c r="E62" s="91"/>
      <c r="F62" s="91"/>
      <c r="G62" s="91"/>
      <c r="H62" s="91"/>
      <c r="I62" s="91"/>
      <c r="J62" s="91"/>
      <c r="K62" s="91"/>
      <c r="L62" s="91"/>
    </row>
    <row r="63" spans="2:12" s="44" customFormat="1" ht="29.25" customHeight="1" x14ac:dyDescent="0.25">
      <c r="B63" s="95" t="s">
        <v>136</v>
      </c>
      <c r="C63" s="89"/>
      <c r="D63" s="89"/>
      <c r="E63" s="91"/>
      <c r="F63" s="91"/>
      <c r="G63" s="91"/>
      <c r="H63" s="91"/>
      <c r="I63" s="91"/>
      <c r="J63" s="91"/>
      <c r="K63" s="91"/>
      <c r="L63" s="91"/>
    </row>
    <row r="64" spans="2:12" s="44" customFormat="1" ht="72.75" customHeight="1" x14ac:dyDescent="0.25">
      <c r="B64" s="96" t="s">
        <v>137</v>
      </c>
      <c r="C64" s="90"/>
      <c r="D64" s="90"/>
      <c r="E64" s="61"/>
      <c r="F64" s="61"/>
      <c r="G64" s="61"/>
      <c r="H64" s="61"/>
      <c r="I64" s="61"/>
      <c r="J64" s="61"/>
      <c r="K64" s="61"/>
      <c r="L64" s="61"/>
    </row>
    <row r="65" spans="2:3" s="44" customFormat="1" x14ac:dyDescent="0.25">
      <c r="B65" s="73"/>
    </row>
    <row r="66" spans="2:3" x14ac:dyDescent="0.25">
      <c r="C66" t="s">
        <v>115</v>
      </c>
    </row>
  </sheetData>
  <protectedRanges>
    <protectedRange sqref="I61:I64 K61:K64" name="Range2"/>
  </protectedRanges>
  <mergeCells count="22">
    <mergeCell ref="B64:D64"/>
    <mergeCell ref="B60:D60"/>
    <mergeCell ref="B61:D61"/>
    <mergeCell ref="B62:D62"/>
    <mergeCell ref="B63:D63"/>
    <mergeCell ref="B1:E1"/>
    <mergeCell ref="B2:E2"/>
    <mergeCell ref="D20:E20"/>
    <mergeCell ref="D5:E5"/>
    <mergeCell ref="D6:E6"/>
    <mergeCell ref="D7:E7"/>
    <mergeCell ref="D12:E12"/>
    <mergeCell ref="D17:E17"/>
    <mergeCell ref="D19:E19"/>
    <mergeCell ref="D13:E13"/>
    <mergeCell ref="D14:E14"/>
    <mergeCell ref="D18:E18"/>
    <mergeCell ref="D37:E37"/>
    <mergeCell ref="D38:E38"/>
    <mergeCell ref="D43:E43"/>
    <mergeCell ref="D44:E44"/>
    <mergeCell ref="D40:E40"/>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opLeftCell="A13" workbookViewId="0">
      <selection activeCell="A24" sqref="A24"/>
    </sheetView>
  </sheetViews>
  <sheetFormatPr defaultRowHeight="15" x14ac:dyDescent="0.25"/>
  <cols>
    <col min="1" max="1" width="113" customWidth="1"/>
    <col min="2" max="12" width="9.140625" customWidth="1"/>
    <col min="13" max="13" width="3.5703125" customWidth="1"/>
  </cols>
  <sheetData>
    <row r="1" spans="1:1" x14ac:dyDescent="0.25">
      <c r="A1" t="s">
        <v>27</v>
      </c>
    </row>
    <row r="2" spans="1:1" x14ac:dyDescent="0.25">
      <c r="A2" t="s">
        <v>85</v>
      </c>
    </row>
    <row r="3" spans="1:1" x14ac:dyDescent="0.25">
      <c r="A3" t="s">
        <v>28</v>
      </c>
    </row>
    <row r="4" spans="1:1" s="44" customFormat="1" ht="30" x14ac:dyDescent="0.25">
      <c r="A4" s="61" t="s">
        <v>122</v>
      </c>
    </row>
    <row r="5" spans="1:1" x14ac:dyDescent="0.25">
      <c r="A5" t="s">
        <v>86</v>
      </c>
    </row>
    <row r="6" spans="1:1" s="44" customFormat="1" x14ac:dyDescent="0.25">
      <c r="A6" s="44" t="s">
        <v>87</v>
      </c>
    </row>
    <row r="8" spans="1:1" x14ac:dyDescent="0.25">
      <c r="A8" s="21" t="s">
        <v>123</v>
      </c>
    </row>
    <row r="9" spans="1:1" x14ac:dyDescent="0.25">
      <c r="A9" s="21" t="s">
        <v>30</v>
      </c>
    </row>
    <row r="10" spans="1:1" x14ac:dyDescent="0.25">
      <c r="A10" s="21" t="s">
        <v>31</v>
      </c>
    </row>
    <row r="11" spans="1:1" x14ac:dyDescent="0.25">
      <c r="A11" s="21" t="s">
        <v>32</v>
      </c>
    </row>
    <row r="12" spans="1:1" x14ac:dyDescent="0.25">
      <c r="A12" s="21" t="s">
        <v>33</v>
      </c>
    </row>
    <row r="13" spans="1:1" x14ac:dyDescent="0.25">
      <c r="A13" s="21" t="s">
        <v>88</v>
      </c>
    </row>
    <row r="14" spans="1:1" x14ac:dyDescent="0.25">
      <c r="A14" s="21" t="s">
        <v>34</v>
      </c>
    </row>
    <row r="17" spans="1:1" x14ac:dyDescent="0.25">
      <c r="A17" s="4" t="s">
        <v>89</v>
      </c>
    </row>
    <row r="18" spans="1:1" x14ac:dyDescent="0.25">
      <c r="A18" s="4" t="s">
        <v>127</v>
      </c>
    </row>
    <row r="19" spans="1:1" s="44" customFormat="1" x14ac:dyDescent="0.25">
      <c r="A19" s="4" t="s">
        <v>128</v>
      </c>
    </row>
    <row r="20" spans="1:1" ht="45" x14ac:dyDescent="0.25">
      <c r="A20" s="74" t="s">
        <v>129</v>
      </c>
    </row>
    <row r="21" spans="1:1" ht="45" x14ac:dyDescent="0.25">
      <c r="A21" s="74" t="s">
        <v>126</v>
      </c>
    </row>
    <row r="22" spans="1:1" ht="30" x14ac:dyDescent="0.25">
      <c r="A22" s="74" t="s">
        <v>130</v>
      </c>
    </row>
    <row r="23" spans="1:1" s="44" customFormat="1" ht="30" x14ac:dyDescent="0.25">
      <c r="A23" s="74" t="s">
        <v>131</v>
      </c>
    </row>
    <row r="24" spans="1:1" s="44" customFormat="1" ht="30" x14ac:dyDescent="0.25">
      <c r="A24" s="74" t="s">
        <v>132</v>
      </c>
    </row>
    <row r="26" spans="1:1" ht="30" x14ac:dyDescent="0.25">
      <c r="A26" s="39" t="s">
        <v>36</v>
      </c>
    </row>
    <row r="27" spans="1:1" x14ac:dyDescent="0.25">
      <c r="A27" s="39" t="s">
        <v>125</v>
      </c>
    </row>
    <row r="28" spans="1:1" x14ac:dyDescent="0.25">
      <c r="A28" s="38" t="s">
        <v>90</v>
      </c>
    </row>
    <row r="30" spans="1:1" x14ac:dyDescent="0.25">
      <c r="A30" s="61"/>
    </row>
  </sheetData>
  <pageMargins left="0.7" right="0.7" top="0.75" bottom="0.75" header="0.3" footer="0.3"/>
  <pageSetup scale="9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1"/>
  <sheetViews>
    <sheetView zoomScale="140" zoomScaleNormal="140" workbookViewId="0">
      <selection activeCell="B56" sqref="B56"/>
    </sheetView>
  </sheetViews>
  <sheetFormatPr defaultRowHeight="15" x14ac:dyDescent="0.25"/>
  <cols>
    <col min="1" max="1" width="63.85546875" customWidth="1"/>
    <col min="2" max="2" width="50.28515625" customWidth="1"/>
    <col min="3" max="3" width="11.28515625" customWidth="1"/>
    <col min="5" max="6" width="12.28515625" customWidth="1"/>
    <col min="7" max="7" width="9.85546875" bestFit="1" customWidth="1"/>
    <col min="14" max="14" width="12" customWidth="1"/>
  </cols>
  <sheetData>
    <row r="1" spans="1:14" x14ac:dyDescent="0.25">
      <c r="A1" t="s">
        <v>120</v>
      </c>
      <c r="B1" s="56" t="s">
        <v>13</v>
      </c>
    </row>
    <row r="2" spans="1:14" x14ac:dyDescent="0.25">
      <c r="A2" s="75" t="s">
        <v>133</v>
      </c>
      <c r="B2" s="4"/>
    </row>
    <row r="3" spans="1:14" x14ac:dyDescent="0.25">
      <c r="A3" t="s">
        <v>116</v>
      </c>
      <c r="B3" s="58" t="s">
        <v>117</v>
      </c>
      <c r="C3" t="s">
        <v>112</v>
      </c>
    </row>
    <row r="4" spans="1:14" x14ac:dyDescent="0.25">
      <c r="A4" t="s">
        <v>65</v>
      </c>
      <c r="B4" s="2">
        <v>2250</v>
      </c>
      <c r="C4" t="s">
        <v>70</v>
      </c>
      <c r="J4">
        <v>2000</v>
      </c>
      <c r="M4" t="s">
        <v>76</v>
      </c>
      <c r="N4">
        <v>3.75</v>
      </c>
    </row>
    <row r="5" spans="1:14" x14ac:dyDescent="0.25">
      <c r="A5" t="s">
        <v>66</v>
      </c>
      <c r="B5" s="72">
        <f>IF(B3="LMI",B4*0.3, IF(B3="SBO",B4*0.51, "Requires Category in B3"))</f>
        <v>675</v>
      </c>
      <c r="C5" t="s">
        <v>70</v>
      </c>
      <c r="J5">
        <f>J4*0.3</f>
        <v>600</v>
      </c>
      <c r="L5" s="1"/>
      <c r="M5" t="s">
        <v>77</v>
      </c>
      <c r="N5">
        <f>ROUNDUP(J5/N4,0)</f>
        <v>160</v>
      </c>
    </row>
    <row r="6" spans="1:14" x14ac:dyDescent="0.25">
      <c r="M6" t="s">
        <v>78</v>
      </c>
      <c r="N6">
        <v>1</v>
      </c>
    </row>
    <row r="7" spans="1:14" x14ac:dyDescent="0.25">
      <c r="A7" t="s">
        <v>81</v>
      </c>
      <c r="B7" s="2">
        <v>350</v>
      </c>
      <c r="J7">
        <v>100000</v>
      </c>
      <c r="M7" t="s">
        <v>79</v>
      </c>
      <c r="N7">
        <f>N5*N6</f>
        <v>160</v>
      </c>
    </row>
    <row r="8" spans="1:14" x14ac:dyDescent="0.25">
      <c r="A8" t="s">
        <v>82</v>
      </c>
      <c r="B8" s="37">
        <v>30</v>
      </c>
      <c r="C8" t="s">
        <v>83</v>
      </c>
      <c r="M8" t="s">
        <v>80</v>
      </c>
      <c r="N8" s="1">
        <f>N7/160</f>
        <v>1</v>
      </c>
    </row>
    <row r="9" spans="1:14" x14ac:dyDescent="0.25">
      <c r="A9" t="s">
        <v>2</v>
      </c>
      <c r="B9" s="2">
        <f>B5</f>
        <v>675</v>
      </c>
      <c r="C9" t="str">
        <f>IF(B9&lt;B5,"too small","")</f>
        <v/>
      </c>
    </row>
    <row r="10" spans="1:14" x14ac:dyDescent="0.25">
      <c r="B10" s="19"/>
    </row>
    <row r="11" spans="1:14" x14ac:dyDescent="0.25">
      <c r="A11" t="s">
        <v>71</v>
      </c>
      <c r="B11" s="57">
        <v>0.02</v>
      </c>
      <c r="F11" s="11"/>
    </row>
    <row r="12" spans="1:14" x14ac:dyDescent="0.25">
      <c r="A12" t="s">
        <v>72</v>
      </c>
      <c r="B12" s="24">
        <v>2.9000000000000001E-2</v>
      </c>
      <c r="F12" s="11"/>
    </row>
    <row r="13" spans="1:14" x14ac:dyDescent="0.25">
      <c r="B13" s="23"/>
      <c r="F13" s="23"/>
    </row>
    <row r="14" spans="1:14" x14ac:dyDescent="0.25">
      <c r="A14" t="s">
        <v>3</v>
      </c>
      <c r="B14" s="24">
        <v>0.1</v>
      </c>
      <c r="F14" s="11"/>
    </row>
    <row r="15" spans="1:14" x14ac:dyDescent="0.25">
      <c r="C15" t="s">
        <v>29</v>
      </c>
      <c r="F15" s="11"/>
      <c r="G15" s="11"/>
      <c r="H15" s="11"/>
    </row>
    <row r="16" spans="1:14" x14ac:dyDescent="0.25">
      <c r="A16" t="s">
        <v>35</v>
      </c>
      <c r="B16" s="8">
        <f>-A23*A54</f>
        <v>196900.11970792216</v>
      </c>
      <c r="C16" s="9">
        <f>B16/B9</f>
        <v>291.70388104877355</v>
      </c>
      <c r="F16" s="8"/>
      <c r="G16" s="33"/>
      <c r="H16" s="11"/>
    </row>
    <row r="17" spans="1:22" ht="15.75" thickBot="1" x14ac:dyDescent="0.3">
      <c r="A17" t="s">
        <v>84</v>
      </c>
      <c r="B17" s="10">
        <f>IF(B16&gt;0,B7*B8,0)</f>
        <v>10500</v>
      </c>
      <c r="C17" s="30">
        <f>B17/B9</f>
        <v>15.555555555555555</v>
      </c>
      <c r="F17" s="36"/>
      <c r="G17" s="36"/>
      <c r="H17" s="11"/>
      <c r="N17" s="62" t="e">
        <f>((#REF!+NPV(#REF!,#REF!,#REF!,#REF!,#REF!,#REF!,#REF!,#REF!,#REF!,#REF!,#REF!,#REF!,#REF!,#REF!,#REF!,#REF!,#REF!,#REF!,#REF!,#REF!))-(#REF!+NPV(#REF!,#REF!,#REF!,#REF!,#REF!,#REF!,#REF!,#REF!,#REF!,#REF!,#REF!,#REF!,#REF!,#REF!,#REF!,#REF!,#REF!,#REF!,#REF!,#REF!)))*(B9/B5)</f>
        <v>#REF!</v>
      </c>
    </row>
    <row r="18" spans="1:22" ht="15.75" thickTop="1" x14ac:dyDescent="0.25">
      <c r="A18" t="s">
        <v>5</v>
      </c>
      <c r="B18" s="29">
        <f>B16+B17</f>
        <v>207400.11970792216</v>
      </c>
      <c r="C18" s="29">
        <f>C16+C17</f>
        <v>307.2594366043291</v>
      </c>
      <c r="D18" s="33"/>
      <c r="F18" s="8"/>
      <c r="G18" s="8"/>
      <c r="H18" s="11"/>
    </row>
    <row r="19" spans="1:22" x14ac:dyDescent="0.25">
      <c r="B19" s="8"/>
      <c r="D19" s="31"/>
      <c r="E19" s="32"/>
      <c r="F19" s="32"/>
      <c r="G19" s="31"/>
      <c r="H19" s="32"/>
    </row>
    <row r="20" spans="1:22" x14ac:dyDescent="0.25">
      <c r="B20" s="8"/>
      <c r="D20" s="12"/>
    </row>
    <row r="21" spans="1:22" x14ac:dyDescent="0.25">
      <c r="A21" t="s">
        <v>6</v>
      </c>
      <c r="L21" s="13"/>
    </row>
    <row r="22" spans="1:22" x14ac:dyDescent="0.25">
      <c r="A22" s="2">
        <v>1250</v>
      </c>
      <c r="B22" t="s">
        <v>119</v>
      </c>
      <c r="L22" s="13"/>
    </row>
    <row r="23" spans="1:22" x14ac:dyDescent="0.25">
      <c r="A23" s="3">
        <f>A22*B9</f>
        <v>843750</v>
      </c>
      <c r="B23" t="s">
        <v>95</v>
      </c>
    </row>
    <row r="29" spans="1:22" x14ac:dyDescent="0.25">
      <c r="G29" s="14"/>
    </row>
    <row r="30" spans="1:22" x14ac:dyDescent="0.25">
      <c r="A30" t="s">
        <v>23</v>
      </c>
      <c r="C30" t="s">
        <v>8</v>
      </c>
    </row>
    <row r="31" spans="1:22" x14ac:dyDescent="0.25">
      <c r="A31" t="s">
        <v>98</v>
      </c>
      <c r="C31" t="s">
        <v>9</v>
      </c>
    </row>
    <row r="32" spans="1:22" x14ac:dyDescent="0.25">
      <c r="A32" s="35" t="s">
        <v>26</v>
      </c>
      <c r="C32">
        <v>0</v>
      </c>
      <c r="D32">
        <f>C32+1</f>
        <v>1</v>
      </c>
      <c r="E32">
        <f t="shared" ref="E32:V32" si="0">D32+1</f>
        <v>2</v>
      </c>
      <c r="F32">
        <f t="shared" si="0"/>
        <v>3</v>
      </c>
      <c r="G32">
        <f t="shared" si="0"/>
        <v>4</v>
      </c>
      <c r="H32">
        <f t="shared" si="0"/>
        <v>5</v>
      </c>
      <c r="I32">
        <f t="shared" si="0"/>
        <v>6</v>
      </c>
      <c r="J32">
        <f t="shared" si="0"/>
        <v>7</v>
      </c>
      <c r="K32">
        <f>J32+1</f>
        <v>8</v>
      </c>
      <c r="L32">
        <f t="shared" si="0"/>
        <v>9</v>
      </c>
      <c r="M32">
        <f>L32+1</f>
        <v>10</v>
      </c>
      <c r="N32">
        <f t="shared" si="0"/>
        <v>11</v>
      </c>
      <c r="O32">
        <f t="shared" si="0"/>
        <v>12</v>
      </c>
      <c r="P32">
        <f t="shared" si="0"/>
        <v>13</v>
      </c>
      <c r="Q32">
        <f t="shared" si="0"/>
        <v>14</v>
      </c>
      <c r="R32">
        <f t="shared" si="0"/>
        <v>15</v>
      </c>
      <c r="S32">
        <f t="shared" si="0"/>
        <v>16</v>
      </c>
      <c r="T32">
        <f t="shared" si="0"/>
        <v>17</v>
      </c>
      <c r="U32">
        <f t="shared" si="0"/>
        <v>18</v>
      </c>
      <c r="V32">
        <f t="shared" si="0"/>
        <v>19</v>
      </c>
    </row>
    <row r="33" spans="1:22" x14ac:dyDescent="0.25">
      <c r="A33" s="5">
        <f>B11</f>
        <v>0.02</v>
      </c>
      <c r="B33" t="s">
        <v>10</v>
      </c>
      <c r="C33" s="16">
        <f>C47</f>
        <v>14</v>
      </c>
      <c r="D33" s="15">
        <f>$C33*(1+$A33)^D$32</f>
        <v>14.280000000000001</v>
      </c>
      <c r="E33" s="15">
        <f t="shared" ref="E33:V34" si="1">$C33*(1+$A33)^E$32</f>
        <v>14.5656</v>
      </c>
      <c r="F33" s="15">
        <f t="shared" si="1"/>
        <v>14.856911999999999</v>
      </c>
      <c r="G33" s="15">
        <f t="shared" si="1"/>
        <v>15.15405024</v>
      </c>
      <c r="H33" s="15">
        <f t="shared" si="1"/>
        <v>15.457131244799999</v>
      </c>
      <c r="I33" s="15">
        <f t="shared" si="1"/>
        <v>15.766273869696001</v>
      </c>
      <c r="J33" s="15">
        <f t="shared" si="1"/>
        <v>16.081599347089917</v>
      </c>
      <c r="K33" s="15">
        <f>$C33*(1+$A33)^K$32</f>
        <v>16.403231334031716</v>
      </c>
      <c r="L33" s="15">
        <f>$C33*(1+$A33)^L$32</f>
        <v>16.731295960712352</v>
      </c>
      <c r="M33" s="15">
        <f t="shared" si="1"/>
        <v>17.065921879926599</v>
      </c>
      <c r="N33" s="15">
        <f t="shared" si="1"/>
        <v>17.40724031752513</v>
      </c>
      <c r="O33" s="15">
        <f t="shared" si="1"/>
        <v>17.755385123875634</v>
      </c>
      <c r="P33" s="15">
        <f t="shared" si="1"/>
        <v>18.110492826353145</v>
      </c>
      <c r="Q33" s="15">
        <f t="shared" si="1"/>
        <v>18.472702682880211</v>
      </c>
      <c r="R33" s="15">
        <f t="shared" si="1"/>
        <v>18.84215673653781</v>
      </c>
      <c r="S33" s="15">
        <f t="shared" si="1"/>
        <v>19.218999871268569</v>
      </c>
      <c r="T33" s="15">
        <f t="shared" si="1"/>
        <v>19.603379868693942</v>
      </c>
      <c r="U33" s="15">
        <f t="shared" si="1"/>
        <v>19.995447466067819</v>
      </c>
      <c r="V33" s="15">
        <f t="shared" si="1"/>
        <v>20.395356415389173</v>
      </c>
    </row>
    <row r="34" spans="1:22" x14ac:dyDescent="0.25">
      <c r="A34" s="5">
        <f>B12</f>
        <v>2.9000000000000001E-2</v>
      </c>
      <c r="B34" t="s">
        <v>11</v>
      </c>
      <c r="C34" s="16">
        <f>C33*(0.85)</f>
        <v>11.9</v>
      </c>
      <c r="D34" s="15">
        <f>$C34*(1+$A34)^D$32</f>
        <v>12.245099999999999</v>
      </c>
      <c r="E34" s="15">
        <f t="shared" si="1"/>
        <v>12.600207899999999</v>
      </c>
      <c r="F34" s="15">
        <f t="shared" si="1"/>
        <v>12.965613929099998</v>
      </c>
      <c r="G34" s="15">
        <f t="shared" si="1"/>
        <v>13.341616733043898</v>
      </c>
      <c r="H34" s="15">
        <f t="shared" si="1"/>
        <v>13.728523618302169</v>
      </c>
      <c r="I34" s="15">
        <f t="shared" si="1"/>
        <v>14.126650803232932</v>
      </c>
      <c r="J34" s="15">
        <f t="shared" si="1"/>
        <v>14.536323676526688</v>
      </c>
      <c r="K34" s="15">
        <f>$C34*(1+$A34)^K$32</f>
        <v>14.957877063145961</v>
      </c>
      <c r="L34" s="15">
        <f>$C34*(1+$A34)^L$32</f>
        <v>15.391655497977192</v>
      </c>
      <c r="M34" s="15">
        <f t="shared" si="1"/>
        <v>15.838013507418532</v>
      </c>
      <c r="N34" s="15">
        <f t="shared" si="1"/>
        <v>16.297315899133668</v>
      </c>
      <c r="O34" s="15">
        <f t="shared" si="1"/>
        <v>16.769938060208542</v>
      </c>
      <c r="P34" s="15">
        <f t="shared" si="1"/>
        <v>17.25626626395459</v>
      </c>
      <c r="Q34" s="15">
        <f t="shared" si="1"/>
        <v>17.756697985609271</v>
      </c>
      <c r="R34" s="15">
        <f t="shared" si="1"/>
        <v>18.271642227191943</v>
      </c>
      <c r="S34" s="15">
        <f t="shared" si="1"/>
        <v>18.801519851780508</v>
      </c>
      <c r="T34" s="15">
        <f t="shared" si="1"/>
        <v>19.34676392748214</v>
      </c>
      <c r="U34" s="15">
        <f t="shared" si="1"/>
        <v>19.907820081379121</v>
      </c>
      <c r="V34" s="15">
        <f t="shared" si="1"/>
        <v>20.485146863739114</v>
      </c>
    </row>
    <row r="36" spans="1:22" x14ac:dyDescent="0.25">
      <c r="A36" s="15">
        <f>SUM(C36:V36)</f>
        <v>-23.63848329562175</v>
      </c>
      <c r="B36" s="15" t="s">
        <v>20</v>
      </c>
      <c r="C36" s="15">
        <f>C34-C33</f>
        <v>-2.0999999999999996</v>
      </c>
      <c r="D36" s="15">
        <f>D34-D33</f>
        <v>-2.0349000000000022</v>
      </c>
      <c r="E36" s="15">
        <f t="shared" ref="E36:V36" si="2">E34-E33</f>
        <v>-1.9653921000000008</v>
      </c>
      <c r="F36" s="15">
        <f t="shared" si="2"/>
        <v>-1.8912980709000013</v>
      </c>
      <c r="G36" s="15">
        <f t="shared" si="2"/>
        <v>-1.8124335069561024</v>
      </c>
      <c r="H36" s="15">
        <f t="shared" si="2"/>
        <v>-1.7286076264978298</v>
      </c>
      <c r="I36" s="15">
        <f t="shared" si="2"/>
        <v>-1.6396230664630682</v>
      </c>
      <c r="J36" s="15">
        <f t="shared" si="2"/>
        <v>-1.5452756705632282</v>
      </c>
      <c r="K36" s="15">
        <f t="shared" si="2"/>
        <v>-1.4453542708857547</v>
      </c>
      <c r="L36" s="15">
        <f t="shared" si="2"/>
        <v>-1.3396404627351597</v>
      </c>
      <c r="M36" s="15">
        <f t="shared" si="2"/>
        <v>-1.2279083725080664</v>
      </c>
      <c r="N36" s="15">
        <f t="shared" si="2"/>
        <v>-1.1099244183914614</v>
      </c>
      <c r="O36" s="15">
        <f t="shared" si="2"/>
        <v>-0.98544706366709178</v>
      </c>
      <c r="P36" s="15">
        <f t="shared" si="2"/>
        <v>-0.85422656239855499</v>
      </c>
      <c r="Q36" s="15">
        <f t="shared" si="2"/>
        <v>-0.71600469727093952</v>
      </c>
      <c r="R36" s="15">
        <f t="shared" si="2"/>
        <v>-0.57051450934586612</v>
      </c>
      <c r="S36" s="15">
        <f t="shared" si="2"/>
        <v>-0.41748001948806035</v>
      </c>
      <c r="T36" s="15">
        <f t="shared" si="2"/>
        <v>-0.25661594121180187</v>
      </c>
      <c r="U36" s="15">
        <f t="shared" si="2"/>
        <v>-8.7627384688698129E-2</v>
      </c>
      <c r="V36" s="15">
        <f t="shared" si="2"/>
        <v>8.9790448349940988E-2</v>
      </c>
    </row>
    <row r="37" spans="1:22" x14ac:dyDescent="0.25">
      <c r="A37" s="25">
        <f>C37</f>
        <v>0.1</v>
      </c>
      <c r="B37" t="s">
        <v>19</v>
      </c>
      <c r="C37" s="26">
        <f>B14</f>
        <v>0.1</v>
      </c>
    </row>
    <row r="38" spans="1:22" x14ac:dyDescent="0.25">
      <c r="A38" s="20">
        <f>(C36+NPV(A37,D36:V36))</f>
        <v>-14.159002564019108</v>
      </c>
      <c r="B38" t="s">
        <v>21</v>
      </c>
    </row>
    <row r="39" spans="1:22" x14ac:dyDescent="0.25">
      <c r="A39" s="17"/>
    </row>
    <row r="40" spans="1:22" x14ac:dyDescent="0.25">
      <c r="A40" s="17"/>
    </row>
    <row r="44" spans="1:22" x14ac:dyDescent="0.25">
      <c r="A44" t="s">
        <v>13</v>
      </c>
      <c r="C44" t="s">
        <v>8</v>
      </c>
    </row>
    <row r="45" spans="1:22" x14ac:dyDescent="0.25">
      <c r="C45" t="s">
        <v>9</v>
      </c>
    </row>
    <row r="46" spans="1:22" x14ac:dyDescent="0.25">
      <c r="A46" s="34" t="s">
        <v>26</v>
      </c>
      <c r="C46">
        <v>0</v>
      </c>
      <c r="D46">
        <f>C46+1</f>
        <v>1</v>
      </c>
      <c r="E46">
        <f t="shared" ref="E46:V46" si="3">D46+1</f>
        <v>2</v>
      </c>
      <c r="F46">
        <f t="shared" si="3"/>
        <v>3</v>
      </c>
      <c r="G46">
        <f t="shared" si="3"/>
        <v>4</v>
      </c>
      <c r="H46">
        <f t="shared" si="3"/>
        <v>5</v>
      </c>
      <c r="I46">
        <f t="shared" si="3"/>
        <v>6</v>
      </c>
      <c r="J46">
        <f t="shared" si="3"/>
        <v>7</v>
      </c>
      <c r="K46">
        <f>J46+1</f>
        <v>8</v>
      </c>
      <c r="L46">
        <f t="shared" si="3"/>
        <v>9</v>
      </c>
      <c r="M46">
        <f>L46+1</f>
        <v>10</v>
      </c>
      <c r="N46">
        <f t="shared" si="3"/>
        <v>11</v>
      </c>
      <c r="O46">
        <f t="shared" si="3"/>
        <v>12</v>
      </c>
      <c r="P46">
        <f t="shared" si="3"/>
        <v>13</v>
      </c>
      <c r="Q46">
        <f t="shared" si="3"/>
        <v>14</v>
      </c>
      <c r="R46">
        <f t="shared" si="3"/>
        <v>15</v>
      </c>
      <c r="S46">
        <f t="shared" si="3"/>
        <v>16</v>
      </c>
      <c r="T46">
        <f t="shared" si="3"/>
        <v>17</v>
      </c>
      <c r="U46">
        <f t="shared" si="3"/>
        <v>18</v>
      </c>
      <c r="V46">
        <f t="shared" si="3"/>
        <v>19</v>
      </c>
    </row>
    <row r="47" spans="1:22" x14ac:dyDescent="0.25">
      <c r="A47" s="5">
        <f>B11</f>
        <v>0.02</v>
      </c>
      <c r="B47" t="s">
        <v>10</v>
      </c>
      <c r="C47" s="4">
        <v>14</v>
      </c>
      <c r="D47" s="15">
        <f>$C47*(1+$A47)^D$32</f>
        <v>14.280000000000001</v>
      </c>
      <c r="E47" s="15">
        <f t="shared" ref="E47:V48" si="4">$C47*(1+$A47)^E$32</f>
        <v>14.5656</v>
      </c>
      <c r="F47" s="15">
        <f t="shared" si="4"/>
        <v>14.856911999999999</v>
      </c>
      <c r="G47" s="15">
        <f t="shared" si="4"/>
        <v>15.15405024</v>
      </c>
      <c r="H47" s="15">
        <f t="shared" si="4"/>
        <v>15.457131244799999</v>
      </c>
      <c r="I47" s="15">
        <f t="shared" si="4"/>
        <v>15.766273869696001</v>
      </c>
      <c r="J47" s="15">
        <f t="shared" si="4"/>
        <v>16.081599347089917</v>
      </c>
      <c r="K47" s="15">
        <f>$C47*(1+$A47)^K$32</f>
        <v>16.403231334031716</v>
      </c>
      <c r="L47" s="15">
        <f>$C47*(1+$A47)^L$32</f>
        <v>16.731295960712352</v>
      </c>
      <c r="M47" s="15">
        <f t="shared" si="4"/>
        <v>17.065921879926599</v>
      </c>
      <c r="N47" s="15">
        <f t="shared" si="4"/>
        <v>17.40724031752513</v>
      </c>
      <c r="O47" s="15">
        <f t="shared" si="4"/>
        <v>17.755385123875634</v>
      </c>
      <c r="P47" s="15">
        <f t="shared" si="4"/>
        <v>18.110492826353145</v>
      </c>
      <c r="Q47" s="15">
        <f t="shared" si="4"/>
        <v>18.472702682880211</v>
      </c>
      <c r="R47" s="15">
        <f t="shared" si="4"/>
        <v>18.84215673653781</v>
      </c>
      <c r="S47" s="15">
        <f t="shared" si="4"/>
        <v>19.218999871268569</v>
      </c>
      <c r="T47" s="15">
        <f t="shared" si="4"/>
        <v>19.603379868693942</v>
      </c>
      <c r="U47" s="15">
        <f t="shared" si="4"/>
        <v>19.995447466067819</v>
      </c>
      <c r="V47" s="15">
        <f t="shared" si="4"/>
        <v>20.395356415389173</v>
      </c>
    </row>
    <row r="48" spans="1:22" x14ac:dyDescent="0.25">
      <c r="A48" s="6">
        <v>0.02</v>
      </c>
      <c r="B48" t="s">
        <v>11</v>
      </c>
      <c r="C48" s="16">
        <f>(1-A50)*C47</f>
        <v>10.5</v>
      </c>
      <c r="D48" s="15">
        <f>$C48*(1+$A48)^D$32</f>
        <v>10.71</v>
      </c>
      <c r="E48" s="15">
        <f>$C48*(1+$A48)^E$32</f>
        <v>10.924199999999999</v>
      </c>
      <c r="F48" s="15">
        <f t="shared" si="4"/>
        <v>11.142683999999999</v>
      </c>
      <c r="G48" s="15">
        <f t="shared" si="4"/>
        <v>11.365537679999999</v>
      </c>
      <c r="H48" s="15">
        <f t="shared" si="4"/>
        <v>11.5928484336</v>
      </c>
      <c r="I48" s="15">
        <f t="shared" si="4"/>
        <v>11.824705402272</v>
      </c>
      <c r="J48" s="15">
        <f t="shared" si="4"/>
        <v>12.061199510317438</v>
      </c>
      <c r="K48" s="15">
        <f>$C48*(1+$A48)^K$32</f>
        <v>12.302423500523789</v>
      </c>
      <c r="L48" s="15">
        <f>$C48*(1+$A48)^L$32</f>
        <v>12.548471970534264</v>
      </c>
      <c r="M48" s="15">
        <f t="shared" si="4"/>
        <v>12.799441409944949</v>
      </c>
      <c r="N48" s="15">
        <f t="shared" si="4"/>
        <v>13.055430238143845</v>
      </c>
      <c r="O48" s="15">
        <f t="shared" si="4"/>
        <v>13.316538842906725</v>
      </c>
      <c r="P48" s="15">
        <f t="shared" si="4"/>
        <v>13.582869619764859</v>
      </c>
      <c r="Q48" s="15">
        <f t="shared" si="4"/>
        <v>13.854527012160158</v>
      </c>
      <c r="R48" s="15">
        <f t="shared" si="4"/>
        <v>14.131617552403357</v>
      </c>
      <c r="S48" s="15">
        <f t="shared" si="4"/>
        <v>14.414249903451427</v>
      </c>
      <c r="T48" s="15">
        <f t="shared" si="4"/>
        <v>14.702534901520457</v>
      </c>
      <c r="U48" s="15">
        <f t="shared" si="4"/>
        <v>14.996585599550864</v>
      </c>
      <c r="V48" s="15">
        <f t="shared" si="4"/>
        <v>15.29651731154188</v>
      </c>
    </row>
    <row r="49" spans="1:22" x14ac:dyDescent="0.25">
      <c r="A49" s="18"/>
      <c r="C49" s="16"/>
      <c r="D49" s="15"/>
      <c r="E49" s="15"/>
      <c r="F49" s="15"/>
      <c r="G49" s="15"/>
      <c r="H49" s="15"/>
      <c r="I49" s="15"/>
      <c r="J49" s="15"/>
      <c r="K49" s="15"/>
      <c r="L49" s="15"/>
      <c r="M49" s="15"/>
      <c r="N49" s="15"/>
      <c r="O49" s="15"/>
      <c r="P49" s="15"/>
      <c r="Q49" s="15"/>
      <c r="R49" s="15"/>
      <c r="S49" s="15"/>
      <c r="T49" s="15"/>
      <c r="U49" s="15"/>
      <c r="V49" s="15"/>
    </row>
    <row r="50" spans="1:22" x14ac:dyDescent="0.25">
      <c r="A50" s="7">
        <v>0.25</v>
      </c>
      <c r="B50" t="s">
        <v>75</v>
      </c>
      <c r="C50" s="22"/>
    </row>
    <row r="51" spans="1:22" x14ac:dyDescent="0.25">
      <c r="A51" s="15">
        <f>SUM(C51:V51)</f>
        <v>-85.040794296212013</v>
      </c>
      <c r="B51" s="15" t="s">
        <v>20</v>
      </c>
      <c r="C51" s="15">
        <f>C48-C47</f>
        <v>-3.5</v>
      </c>
      <c r="D51" s="15">
        <f>D48-D47</f>
        <v>-3.5700000000000003</v>
      </c>
      <c r="E51" s="15">
        <f t="shared" ref="E51:V51" si="5">E48-E47</f>
        <v>-3.6414000000000009</v>
      </c>
      <c r="F51" s="15">
        <f t="shared" si="5"/>
        <v>-3.7142280000000003</v>
      </c>
      <c r="G51" s="15">
        <f t="shared" si="5"/>
        <v>-3.7885125600000009</v>
      </c>
      <c r="H51" s="15">
        <f t="shared" si="5"/>
        <v>-3.8642828111999989</v>
      </c>
      <c r="I51" s="15">
        <f t="shared" si="5"/>
        <v>-3.9415684674240001</v>
      </c>
      <c r="J51" s="15">
        <f t="shared" si="5"/>
        <v>-4.0203998367724783</v>
      </c>
      <c r="K51" s="15">
        <f t="shared" si="5"/>
        <v>-4.1008078335079272</v>
      </c>
      <c r="L51" s="15">
        <f t="shared" si="5"/>
        <v>-4.1828239901780879</v>
      </c>
      <c r="M51" s="15">
        <f t="shared" si="5"/>
        <v>-4.2664804699816496</v>
      </c>
      <c r="N51" s="15">
        <f t="shared" si="5"/>
        <v>-4.3518100793812842</v>
      </c>
      <c r="O51" s="15">
        <f t="shared" si="5"/>
        <v>-4.4388462809689084</v>
      </c>
      <c r="P51" s="15">
        <f t="shared" si="5"/>
        <v>-4.5276232065882862</v>
      </c>
      <c r="Q51" s="15">
        <f t="shared" si="5"/>
        <v>-4.6181756707200528</v>
      </c>
      <c r="R51" s="15">
        <f t="shared" si="5"/>
        <v>-4.7105391841344524</v>
      </c>
      <c r="S51" s="15">
        <f t="shared" si="5"/>
        <v>-4.8047499678171413</v>
      </c>
      <c r="T51" s="15">
        <f t="shared" si="5"/>
        <v>-4.9008449671734855</v>
      </c>
      <c r="U51" s="15">
        <f t="shared" si="5"/>
        <v>-4.9988618665169557</v>
      </c>
      <c r="V51" s="15">
        <f t="shared" si="5"/>
        <v>-5.0988391038472933</v>
      </c>
    </row>
    <row r="52" spans="1:22" x14ac:dyDescent="0.25">
      <c r="A52" s="25">
        <f>A37</f>
        <v>0.1</v>
      </c>
      <c r="B52" t="s">
        <v>19</v>
      </c>
      <c r="C52" s="26">
        <f>B14</f>
        <v>0.1</v>
      </c>
    </row>
    <row r="53" spans="1:22" x14ac:dyDescent="0.25">
      <c r="A53" s="20">
        <f>C51+NPV(A52,D51:V51)</f>
        <v>-37.495313047920995</v>
      </c>
      <c r="B53" t="s">
        <v>22</v>
      </c>
    </row>
    <row r="54" spans="1:22" x14ac:dyDescent="0.25">
      <c r="A54" s="27">
        <f>(A53-A38)/100</f>
        <v>-0.23336310483901887</v>
      </c>
      <c r="B54" t="s">
        <v>24</v>
      </c>
      <c r="G54" s="12"/>
    </row>
    <row r="55" spans="1:22" x14ac:dyDescent="0.25">
      <c r="A55" s="17"/>
      <c r="G55" s="12"/>
    </row>
    <row r="56" spans="1:22" x14ac:dyDescent="0.25">
      <c r="A56" t="s">
        <v>115</v>
      </c>
    </row>
    <row r="100" spans="2:2" x14ac:dyDescent="0.25">
      <c r="B100" t="s">
        <v>117</v>
      </c>
    </row>
    <row r="101" spans="2:2" x14ac:dyDescent="0.25">
      <c r="B101" t="s">
        <v>118</v>
      </c>
    </row>
  </sheetData>
  <protectedRanges>
    <protectedRange sqref="C48:V48" name="Outyear PPA Rates"/>
    <protectedRange sqref="A7" name="Number of LMI Subscribers"/>
    <protectedRange sqref="A22" name="kWh ac per kW dc"/>
    <protectedRange sqref="A50" name="Zero Year Rate Below Utility Rate"/>
    <protectedRange sqref="A48" name="PPA Escalation  Rate"/>
    <protectedRange sqref="C47" name="Utility Rate"/>
    <protectedRange sqref="B4" name="Array Capacity   DC"/>
  </protectedRanges>
  <dataValidations count="4">
    <dataValidation allowBlank="1" showInputMessage="1" showErrorMessage="1" promptTitle="Total Array Capacity" prompt="This is the total number of DC watts going into the inverter(s).  I used a PVWATTS DC to AC ratio of 1.2 when calculating small and medium sized roof mounted system outputs, and a PVWATTS DC to AC ratio of 1.4 for large ground mounted systems " sqref="B4"/>
    <dataValidation allowBlank="1" showInputMessage="1" showErrorMessage="1" promptTitle="Default values for kWh-ac/ kW-dc" prompt="Use 1230 if flat roof_x000a_Use 1390 if pitched roof (about 30 degrees)_x000a_Use 1400 if ground mounted fixed axis_x000a_Use 1650 if single axis tracking_x000a_Provide full PVWATTS inputs used to calculate any other value." sqref="A22"/>
    <dataValidation allowBlank="1" showInputMessage="1" showErrorMessage="1" promptTitle="Utility Rate" prompt="Equal to the sum of everything that changes on a per kWh rate.  This includes riders and taxes." sqref="C47"/>
    <dataValidation type="list" allowBlank="1" showInputMessage="1" showErrorMessage="1" sqref="B3">
      <formula1>$B$100:$B$102</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opLeftCell="A37" workbookViewId="0">
      <selection activeCell="B62" sqref="B62"/>
    </sheetView>
  </sheetViews>
  <sheetFormatPr defaultRowHeight="15" x14ac:dyDescent="0.25"/>
  <cols>
    <col min="1" max="1" width="63.85546875" customWidth="1"/>
    <col min="2" max="2" width="50.28515625" customWidth="1"/>
    <col min="3" max="3" width="11.28515625" customWidth="1"/>
    <col min="5" max="6" width="12.28515625" customWidth="1"/>
    <col min="7" max="7" width="9.85546875" bestFit="1" customWidth="1"/>
  </cols>
  <sheetData>
    <row r="1" spans="1:12" x14ac:dyDescent="0.25">
      <c r="A1" s="44" t="s">
        <v>121</v>
      </c>
      <c r="B1" s="56" t="s">
        <v>15</v>
      </c>
    </row>
    <row r="2" spans="1:12" x14ac:dyDescent="0.25">
      <c r="A2" s="44" t="s">
        <v>0</v>
      </c>
      <c r="B2" s="44"/>
    </row>
    <row r="3" spans="1:12" s="44" customFormat="1" x14ac:dyDescent="0.25">
      <c r="A3" s="44" t="s">
        <v>116</v>
      </c>
      <c r="B3" s="58" t="s">
        <v>117</v>
      </c>
      <c r="C3" s="44" t="s">
        <v>112</v>
      </c>
    </row>
    <row r="4" spans="1:12" x14ac:dyDescent="0.25">
      <c r="A4" s="44" t="s">
        <v>65</v>
      </c>
      <c r="B4" s="2">
        <v>2000</v>
      </c>
    </row>
    <row r="5" spans="1:12" x14ac:dyDescent="0.25">
      <c r="A5" s="44" t="s">
        <v>66</v>
      </c>
      <c r="B5" s="72">
        <f>IF(B3="LMI",B4*0.3, IF(B3="SBO",B4*0.51, "Requires Category in B3"))</f>
        <v>600</v>
      </c>
    </row>
    <row r="6" spans="1:12" x14ac:dyDescent="0.25">
      <c r="A6" s="44"/>
      <c r="B6" s="44"/>
      <c r="L6" s="1"/>
    </row>
    <row r="7" spans="1:12" x14ac:dyDescent="0.25">
      <c r="A7" s="44" t="s">
        <v>81</v>
      </c>
      <c r="B7" s="2">
        <v>350</v>
      </c>
    </row>
    <row r="8" spans="1:12" x14ac:dyDescent="0.25">
      <c r="A8" s="44" t="s">
        <v>82</v>
      </c>
      <c r="B8" s="37">
        <v>30</v>
      </c>
    </row>
    <row r="9" spans="1:12" x14ac:dyDescent="0.25">
      <c r="A9" s="44" t="s">
        <v>2</v>
      </c>
      <c r="B9" s="2">
        <v>1388</v>
      </c>
      <c r="C9" t="str">
        <f>IF(B9&lt;B5,"too small","")</f>
        <v/>
      </c>
    </row>
    <row r="10" spans="1:12" x14ac:dyDescent="0.25">
      <c r="A10" s="44"/>
      <c r="B10" s="19"/>
    </row>
    <row r="11" spans="1:12" x14ac:dyDescent="0.25">
      <c r="A11" t="s">
        <v>74</v>
      </c>
      <c r="B11" s="24">
        <v>0.02</v>
      </c>
      <c r="F11" s="11"/>
    </row>
    <row r="12" spans="1:12" x14ac:dyDescent="0.25">
      <c r="A12" t="s">
        <v>96</v>
      </c>
      <c r="B12" s="24">
        <v>2.9000000000000001E-2</v>
      </c>
      <c r="F12" s="11"/>
    </row>
    <row r="13" spans="1:12" x14ac:dyDescent="0.25">
      <c r="A13" t="s">
        <v>97</v>
      </c>
      <c r="B13" s="26">
        <v>0.15</v>
      </c>
      <c r="F13" s="23"/>
    </row>
    <row r="14" spans="1:12" x14ac:dyDescent="0.25">
      <c r="A14" t="s">
        <v>3</v>
      </c>
      <c r="B14" s="24">
        <v>0.1</v>
      </c>
      <c r="F14" s="11"/>
    </row>
    <row r="15" spans="1:12" x14ac:dyDescent="0.25">
      <c r="A15" t="s">
        <v>67</v>
      </c>
      <c r="B15" s="60">
        <v>0.5</v>
      </c>
      <c r="C15" t="s">
        <v>1</v>
      </c>
      <c r="E15" s="36"/>
      <c r="F15" s="36"/>
      <c r="G15" s="36"/>
      <c r="H15" s="36"/>
    </row>
    <row r="16" spans="1:12" x14ac:dyDescent="0.25">
      <c r="A16" t="s">
        <v>4</v>
      </c>
      <c r="B16" s="8">
        <f>-A23*A53*B15</f>
        <v>663191.45800661016</v>
      </c>
      <c r="C16" s="9">
        <f>B16/B9</f>
        <v>477.80364409698137</v>
      </c>
      <c r="E16" s="36"/>
      <c r="F16" s="40"/>
      <c r="G16" s="41"/>
      <c r="H16" s="36"/>
    </row>
    <row r="17" spans="1:22" ht="15.75" thickBot="1" x14ac:dyDescent="0.3">
      <c r="A17" t="s">
        <v>93</v>
      </c>
      <c r="B17" s="10">
        <f>B7*B8</f>
        <v>10500</v>
      </c>
      <c r="C17" s="30">
        <f>B17/B9</f>
        <v>7.5648414985590779</v>
      </c>
      <c r="E17" s="36"/>
      <c r="F17" s="36"/>
      <c r="G17" s="36"/>
      <c r="H17" s="36"/>
    </row>
    <row r="18" spans="1:22" ht="15.75" thickTop="1" x14ac:dyDescent="0.25">
      <c r="A18" t="s">
        <v>5</v>
      </c>
      <c r="B18" s="8">
        <f>B16+B17</f>
        <v>673691.45800661016</v>
      </c>
      <c r="C18" s="28">
        <f>SUM(C16:C17)</f>
        <v>485.36848559554045</v>
      </c>
      <c r="D18" s="33"/>
      <c r="E18" s="36"/>
      <c r="F18" s="40"/>
      <c r="G18" s="40"/>
      <c r="H18" s="36"/>
    </row>
    <row r="19" spans="1:22" x14ac:dyDescent="0.25">
      <c r="B19" s="8"/>
      <c r="D19" s="31"/>
      <c r="E19" s="32"/>
      <c r="F19" s="32"/>
      <c r="G19" s="31"/>
      <c r="H19" s="32"/>
    </row>
    <row r="20" spans="1:22" x14ac:dyDescent="0.25">
      <c r="B20" s="8"/>
      <c r="D20" s="12"/>
    </row>
    <row r="21" spans="1:22" x14ac:dyDescent="0.25">
      <c r="A21" t="s">
        <v>6</v>
      </c>
      <c r="L21" s="13"/>
    </row>
    <row r="22" spans="1:22" x14ac:dyDescent="0.25">
      <c r="A22" s="2">
        <v>1250</v>
      </c>
      <c r="B22" t="s">
        <v>7</v>
      </c>
      <c r="L22" s="13"/>
    </row>
    <row r="23" spans="1:22" x14ac:dyDescent="0.25">
      <c r="A23" s="3">
        <f>A22*B9</f>
        <v>1735000</v>
      </c>
      <c r="B23" t="s">
        <v>94</v>
      </c>
    </row>
    <row r="29" spans="1:22" x14ac:dyDescent="0.25">
      <c r="G29" s="14"/>
    </row>
    <row r="30" spans="1:22" x14ac:dyDescent="0.25">
      <c r="A30" t="s">
        <v>23</v>
      </c>
      <c r="C30" t="s">
        <v>8</v>
      </c>
    </row>
    <row r="31" spans="1:22" x14ac:dyDescent="0.25">
      <c r="A31" t="str">
        <f>"Baseline - " &amp; (B13*100) &amp; "% discount"</f>
        <v>Baseline - 15% discount</v>
      </c>
      <c r="C31" t="s">
        <v>9</v>
      </c>
    </row>
    <row r="32" spans="1:22" x14ac:dyDescent="0.25">
      <c r="A32" s="35" t="s">
        <v>26</v>
      </c>
      <c r="C32">
        <v>0</v>
      </c>
      <c r="D32">
        <f>C32+1</f>
        <v>1</v>
      </c>
      <c r="E32">
        <f t="shared" ref="E32:V32" si="0">D32+1</f>
        <v>2</v>
      </c>
      <c r="F32">
        <f t="shared" si="0"/>
        <v>3</v>
      </c>
      <c r="G32">
        <f t="shared" si="0"/>
        <v>4</v>
      </c>
      <c r="H32">
        <f t="shared" si="0"/>
        <v>5</v>
      </c>
      <c r="I32">
        <f t="shared" si="0"/>
        <v>6</v>
      </c>
      <c r="J32">
        <f t="shared" si="0"/>
        <v>7</v>
      </c>
      <c r="K32">
        <f>J32+1</f>
        <v>8</v>
      </c>
      <c r="L32">
        <f t="shared" si="0"/>
        <v>9</v>
      </c>
      <c r="M32">
        <f>L32+1</f>
        <v>10</v>
      </c>
      <c r="N32">
        <f t="shared" si="0"/>
        <v>11</v>
      </c>
      <c r="O32">
        <f t="shared" si="0"/>
        <v>12</v>
      </c>
      <c r="P32">
        <f t="shared" si="0"/>
        <v>13</v>
      </c>
      <c r="Q32">
        <f t="shared" si="0"/>
        <v>14</v>
      </c>
      <c r="R32">
        <f t="shared" si="0"/>
        <v>15</v>
      </c>
      <c r="S32">
        <f t="shared" si="0"/>
        <v>16</v>
      </c>
      <c r="T32">
        <f t="shared" si="0"/>
        <v>17</v>
      </c>
      <c r="U32">
        <f t="shared" si="0"/>
        <v>18</v>
      </c>
      <c r="V32">
        <f t="shared" si="0"/>
        <v>19</v>
      </c>
    </row>
    <row r="33" spans="1:22" x14ac:dyDescent="0.25">
      <c r="A33" s="5">
        <f>B11</f>
        <v>0.02</v>
      </c>
      <c r="B33" t="s">
        <v>10</v>
      </c>
      <c r="C33" s="16">
        <f>C47</f>
        <v>14</v>
      </c>
      <c r="D33" s="15">
        <f>$C33*(1+$A33)^D$32</f>
        <v>14.280000000000001</v>
      </c>
      <c r="E33" s="15">
        <f t="shared" ref="E33:V34" si="1">$C33*(1+$A33)^E$32</f>
        <v>14.5656</v>
      </c>
      <c r="F33" s="15">
        <f t="shared" si="1"/>
        <v>14.856911999999999</v>
      </c>
      <c r="G33" s="15">
        <f t="shared" si="1"/>
        <v>15.15405024</v>
      </c>
      <c r="H33" s="15">
        <f t="shared" si="1"/>
        <v>15.457131244799999</v>
      </c>
      <c r="I33" s="15">
        <f t="shared" si="1"/>
        <v>15.766273869696001</v>
      </c>
      <c r="J33" s="15">
        <f t="shared" si="1"/>
        <v>16.081599347089917</v>
      </c>
      <c r="K33" s="15">
        <f>$C33*(1+$A33)^K$32</f>
        <v>16.403231334031716</v>
      </c>
      <c r="L33" s="15">
        <f>$C33*(1+$A33)^L$32</f>
        <v>16.731295960712352</v>
      </c>
      <c r="M33" s="15">
        <f t="shared" si="1"/>
        <v>17.065921879926599</v>
      </c>
      <c r="N33" s="15">
        <f t="shared" si="1"/>
        <v>17.40724031752513</v>
      </c>
      <c r="O33" s="15">
        <f t="shared" si="1"/>
        <v>17.755385123875634</v>
      </c>
      <c r="P33" s="15">
        <f t="shared" si="1"/>
        <v>18.110492826353145</v>
      </c>
      <c r="Q33" s="15">
        <f t="shared" si="1"/>
        <v>18.472702682880211</v>
      </c>
      <c r="R33" s="15">
        <f t="shared" si="1"/>
        <v>18.84215673653781</v>
      </c>
      <c r="S33" s="15">
        <f t="shared" si="1"/>
        <v>19.218999871268569</v>
      </c>
      <c r="T33" s="15">
        <f t="shared" si="1"/>
        <v>19.603379868693942</v>
      </c>
      <c r="U33" s="15">
        <f t="shared" si="1"/>
        <v>19.995447466067819</v>
      </c>
      <c r="V33" s="15">
        <f t="shared" si="1"/>
        <v>20.395356415389173</v>
      </c>
    </row>
    <row r="34" spans="1:22" x14ac:dyDescent="0.25">
      <c r="A34" s="5">
        <f>B12</f>
        <v>2.9000000000000001E-2</v>
      </c>
      <c r="B34" t="s">
        <v>11</v>
      </c>
      <c r="C34" s="16">
        <f>C33*(1-B13)</f>
        <v>11.9</v>
      </c>
      <c r="D34" s="15">
        <f>$C34*(1+$A34)^D$32</f>
        <v>12.245099999999999</v>
      </c>
      <c r="E34" s="15">
        <f t="shared" si="1"/>
        <v>12.600207899999999</v>
      </c>
      <c r="F34" s="15">
        <f t="shared" si="1"/>
        <v>12.965613929099998</v>
      </c>
      <c r="G34" s="15">
        <f t="shared" si="1"/>
        <v>13.341616733043898</v>
      </c>
      <c r="H34" s="15">
        <f t="shared" si="1"/>
        <v>13.728523618302169</v>
      </c>
      <c r="I34" s="15">
        <f t="shared" si="1"/>
        <v>14.126650803232932</v>
      </c>
      <c r="J34" s="15">
        <f t="shared" si="1"/>
        <v>14.536323676526688</v>
      </c>
      <c r="K34" s="15">
        <f>$C34*(1+$A34)^K$32</f>
        <v>14.957877063145961</v>
      </c>
      <c r="L34" s="15">
        <f>$C34*(1+$A34)^L$32</f>
        <v>15.391655497977192</v>
      </c>
      <c r="M34" s="15">
        <f t="shared" si="1"/>
        <v>15.838013507418532</v>
      </c>
      <c r="N34" s="15">
        <f t="shared" si="1"/>
        <v>16.297315899133668</v>
      </c>
      <c r="O34" s="15">
        <f t="shared" si="1"/>
        <v>16.769938060208542</v>
      </c>
      <c r="P34" s="15">
        <f t="shared" si="1"/>
        <v>17.25626626395459</v>
      </c>
      <c r="Q34" s="15">
        <f t="shared" si="1"/>
        <v>17.756697985609271</v>
      </c>
      <c r="R34" s="15">
        <f t="shared" si="1"/>
        <v>18.271642227191943</v>
      </c>
      <c r="S34" s="15">
        <f t="shared" si="1"/>
        <v>18.801519851780508</v>
      </c>
      <c r="T34" s="15">
        <f t="shared" si="1"/>
        <v>19.34676392748214</v>
      </c>
      <c r="U34" s="15">
        <f t="shared" si="1"/>
        <v>19.907820081379121</v>
      </c>
      <c r="V34" s="15">
        <f t="shared" si="1"/>
        <v>20.485146863739114</v>
      </c>
    </row>
    <row r="36" spans="1:22" x14ac:dyDescent="0.25">
      <c r="A36" s="15">
        <f>SUM(C36:V36)</f>
        <v>-23.63848329562175</v>
      </c>
      <c r="B36" s="15" t="s">
        <v>20</v>
      </c>
      <c r="C36" s="15">
        <f>C34-C33</f>
        <v>-2.0999999999999996</v>
      </c>
      <c r="D36" s="15">
        <f>D34-D33</f>
        <v>-2.0349000000000022</v>
      </c>
      <c r="E36" s="15">
        <f t="shared" ref="E36:V36" si="2">E34-E33</f>
        <v>-1.9653921000000008</v>
      </c>
      <c r="F36" s="15">
        <f t="shared" si="2"/>
        <v>-1.8912980709000013</v>
      </c>
      <c r="G36" s="15">
        <f t="shared" si="2"/>
        <v>-1.8124335069561024</v>
      </c>
      <c r="H36" s="15">
        <f t="shared" si="2"/>
        <v>-1.7286076264978298</v>
      </c>
      <c r="I36" s="15">
        <f t="shared" si="2"/>
        <v>-1.6396230664630682</v>
      </c>
      <c r="J36" s="15">
        <f t="shared" si="2"/>
        <v>-1.5452756705632282</v>
      </c>
      <c r="K36" s="15">
        <f t="shared" si="2"/>
        <v>-1.4453542708857547</v>
      </c>
      <c r="L36" s="15">
        <f t="shared" si="2"/>
        <v>-1.3396404627351597</v>
      </c>
      <c r="M36" s="15">
        <f t="shared" si="2"/>
        <v>-1.2279083725080664</v>
      </c>
      <c r="N36" s="15">
        <f t="shared" si="2"/>
        <v>-1.1099244183914614</v>
      </c>
      <c r="O36" s="15">
        <f t="shared" si="2"/>
        <v>-0.98544706366709178</v>
      </c>
      <c r="P36" s="15">
        <f t="shared" si="2"/>
        <v>-0.85422656239855499</v>
      </c>
      <c r="Q36" s="15">
        <f t="shared" si="2"/>
        <v>-0.71600469727093952</v>
      </c>
      <c r="R36" s="15">
        <f t="shared" si="2"/>
        <v>-0.57051450934586612</v>
      </c>
      <c r="S36" s="15">
        <f t="shared" si="2"/>
        <v>-0.41748001948806035</v>
      </c>
      <c r="T36" s="15">
        <f t="shared" si="2"/>
        <v>-0.25661594121180187</v>
      </c>
      <c r="U36" s="15">
        <f t="shared" si="2"/>
        <v>-8.7627384688698129E-2</v>
      </c>
      <c r="V36" s="15">
        <f t="shared" si="2"/>
        <v>8.9790448349940988E-2</v>
      </c>
    </row>
    <row r="37" spans="1:22" x14ac:dyDescent="0.25">
      <c r="A37" s="25">
        <f>C37</f>
        <v>0.1</v>
      </c>
      <c r="B37" t="s">
        <v>19</v>
      </c>
      <c r="C37" s="26">
        <f>B14</f>
        <v>0.1</v>
      </c>
    </row>
    <row r="38" spans="1:22" x14ac:dyDescent="0.25">
      <c r="A38" s="20">
        <f>(C36+NPV(A37,D36:V36))</f>
        <v>-14.159002564019108</v>
      </c>
      <c r="B38" t="s">
        <v>21</v>
      </c>
    </row>
    <row r="39" spans="1:22" x14ac:dyDescent="0.25">
      <c r="A39" s="17"/>
    </row>
    <row r="40" spans="1:22" x14ac:dyDescent="0.25">
      <c r="A40" s="17"/>
    </row>
    <row r="44" spans="1:22" x14ac:dyDescent="0.25">
      <c r="A44" t="s">
        <v>15</v>
      </c>
      <c r="C44" t="s">
        <v>8</v>
      </c>
    </row>
    <row r="45" spans="1:22" x14ac:dyDescent="0.25">
      <c r="A45" t="s">
        <v>18</v>
      </c>
      <c r="C45" t="s">
        <v>9</v>
      </c>
    </row>
    <row r="46" spans="1:22" x14ac:dyDescent="0.25">
      <c r="A46" t="s">
        <v>25</v>
      </c>
      <c r="C46">
        <v>0</v>
      </c>
      <c r="D46">
        <f>C46+1</f>
        <v>1</v>
      </c>
      <c r="E46">
        <f t="shared" ref="E46:J46" si="3">D46+1</f>
        <v>2</v>
      </c>
      <c r="F46">
        <f t="shared" si="3"/>
        <v>3</v>
      </c>
      <c r="G46">
        <f t="shared" si="3"/>
        <v>4</v>
      </c>
      <c r="H46">
        <f t="shared" si="3"/>
        <v>5</v>
      </c>
      <c r="I46">
        <f t="shared" si="3"/>
        <v>6</v>
      </c>
      <c r="J46">
        <f t="shared" si="3"/>
        <v>7</v>
      </c>
      <c r="K46">
        <f>J46+1</f>
        <v>8</v>
      </c>
      <c r="L46">
        <f t="shared" ref="L46" si="4">K46+1</f>
        <v>9</v>
      </c>
      <c r="M46">
        <f>L46+1</f>
        <v>10</v>
      </c>
      <c r="N46">
        <f t="shared" ref="N46:V46" si="5">M46+1</f>
        <v>11</v>
      </c>
      <c r="O46">
        <f t="shared" si="5"/>
        <v>12</v>
      </c>
      <c r="P46">
        <f t="shared" si="5"/>
        <v>13</v>
      </c>
      <c r="Q46">
        <f t="shared" si="5"/>
        <v>14</v>
      </c>
      <c r="R46">
        <f t="shared" si="5"/>
        <v>15</v>
      </c>
      <c r="S46">
        <f t="shared" si="5"/>
        <v>16</v>
      </c>
      <c r="T46">
        <f t="shared" si="5"/>
        <v>17</v>
      </c>
      <c r="U46">
        <f t="shared" si="5"/>
        <v>18</v>
      </c>
      <c r="V46">
        <f t="shared" si="5"/>
        <v>19</v>
      </c>
    </row>
    <row r="47" spans="1:22" x14ac:dyDescent="0.25">
      <c r="A47" s="5">
        <f>B11</f>
        <v>0.02</v>
      </c>
      <c r="B47" t="s">
        <v>10</v>
      </c>
      <c r="C47" s="4">
        <v>14</v>
      </c>
      <c r="D47" s="15">
        <f>$C47*(1+$A47)^D$32</f>
        <v>14.280000000000001</v>
      </c>
      <c r="E47" s="15">
        <f t="shared" ref="E47:V47" si="6">$C47*(1+$A47)^E$32</f>
        <v>14.5656</v>
      </c>
      <c r="F47" s="15">
        <f t="shared" si="6"/>
        <v>14.856911999999999</v>
      </c>
      <c r="G47" s="15">
        <f t="shared" si="6"/>
        <v>15.15405024</v>
      </c>
      <c r="H47" s="15">
        <f t="shared" si="6"/>
        <v>15.457131244799999</v>
      </c>
      <c r="I47" s="15">
        <f t="shared" si="6"/>
        <v>15.766273869696001</v>
      </c>
      <c r="J47" s="15">
        <f t="shared" si="6"/>
        <v>16.081599347089917</v>
      </c>
      <c r="K47" s="15">
        <f>$C47*(1+$A47)^K$32</f>
        <v>16.403231334031716</v>
      </c>
      <c r="L47" s="15">
        <f>$C47*(1+$A47)^L$32</f>
        <v>16.731295960712352</v>
      </c>
      <c r="M47" s="15">
        <f t="shared" si="6"/>
        <v>17.065921879926599</v>
      </c>
      <c r="N47" s="15">
        <f t="shared" si="6"/>
        <v>17.40724031752513</v>
      </c>
      <c r="O47" s="15">
        <f t="shared" si="6"/>
        <v>17.755385123875634</v>
      </c>
      <c r="P47" s="15">
        <f t="shared" si="6"/>
        <v>18.110492826353145</v>
      </c>
      <c r="Q47" s="15">
        <f t="shared" si="6"/>
        <v>18.472702682880211</v>
      </c>
      <c r="R47" s="15">
        <f t="shared" si="6"/>
        <v>18.84215673653781</v>
      </c>
      <c r="S47" s="15">
        <f t="shared" si="6"/>
        <v>19.218999871268569</v>
      </c>
      <c r="T47" s="15">
        <f t="shared" si="6"/>
        <v>19.603379868693942</v>
      </c>
      <c r="U47" s="15">
        <f t="shared" si="6"/>
        <v>19.995447466067819</v>
      </c>
      <c r="V47" s="15">
        <f t="shared" si="6"/>
        <v>20.395356415389173</v>
      </c>
    </row>
    <row r="48" spans="1:22" x14ac:dyDescent="0.25">
      <c r="A48" s="5">
        <f>-A57</f>
        <v>-0.1</v>
      </c>
      <c r="B48" t="s">
        <v>11</v>
      </c>
      <c r="C48" s="16">
        <f>(1-A58)*C47</f>
        <v>14</v>
      </c>
      <c r="D48" s="15">
        <f>IF(($C48*(1+$A48*D$32))&lt;0,0,($C48*(1+$A48*D$32)))</f>
        <v>12.6</v>
      </c>
      <c r="E48" s="15">
        <f t="shared" ref="E48:V48" si="7">IF(($C48*(1+$A48*E$32))&lt;0,0,($C48*(1+$A48*E$32)))</f>
        <v>11.200000000000001</v>
      </c>
      <c r="F48" s="15">
        <f t="shared" si="7"/>
        <v>9.7999999999999989</v>
      </c>
      <c r="G48" s="15">
        <f t="shared" si="7"/>
        <v>8.4</v>
      </c>
      <c r="H48" s="15">
        <f t="shared" si="7"/>
        <v>7</v>
      </c>
      <c r="I48" s="15">
        <f t="shared" si="7"/>
        <v>5.5999999999999988</v>
      </c>
      <c r="J48" s="15">
        <f t="shared" si="7"/>
        <v>4.1999999999999993</v>
      </c>
      <c r="K48" s="15">
        <f>IF(($C48*(1+$A48*K$32))&lt;0,0,($C48*(1+$A48*K$32)))</f>
        <v>2.7999999999999994</v>
      </c>
      <c r="L48" s="15">
        <f>IF(($C48*(1+$A48*L$32))&lt;0,0,($C48*(1+$A48*L$32)))</f>
        <v>1.3999999999999997</v>
      </c>
      <c r="M48" s="15">
        <f t="shared" si="7"/>
        <v>0</v>
      </c>
      <c r="N48" s="15">
        <f t="shared" si="7"/>
        <v>0</v>
      </c>
      <c r="O48" s="15">
        <f t="shared" si="7"/>
        <v>0</v>
      </c>
      <c r="P48" s="15">
        <f t="shared" si="7"/>
        <v>0</v>
      </c>
      <c r="Q48" s="15">
        <f t="shared" si="7"/>
        <v>0</v>
      </c>
      <c r="R48" s="15">
        <f t="shared" si="7"/>
        <v>0</v>
      </c>
      <c r="S48" s="15">
        <f t="shared" si="7"/>
        <v>0</v>
      </c>
      <c r="T48" s="15">
        <f t="shared" si="7"/>
        <v>0</v>
      </c>
      <c r="U48" s="15">
        <f t="shared" si="7"/>
        <v>0</v>
      </c>
      <c r="V48" s="15">
        <f t="shared" si="7"/>
        <v>0</v>
      </c>
    </row>
    <row r="50" spans="1:22" x14ac:dyDescent="0.25">
      <c r="A50" s="15">
        <f>SUM(C50:V50)</f>
        <v>-263.16317718484805</v>
      </c>
      <c r="B50" s="15" t="s">
        <v>12</v>
      </c>
      <c r="C50" s="15">
        <f>C48-C47</f>
        <v>0</v>
      </c>
      <c r="D50" s="15">
        <f>D48-D47</f>
        <v>-1.6800000000000015</v>
      </c>
      <c r="E50" s="15">
        <f t="shared" ref="E50:V50" si="8">E48-E47</f>
        <v>-3.3655999999999988</v>
      </c>
      <c r="F50" s="15">
        <f t="shared" si="8"/>
        <v>-5.0569120000000005</v>
      </c>
      <c r="G50" s="15">
        <f t="shared" si="8"/>
        <v>-6.7540502399999998</v>
      </c>
      <c r="H50" s="15">
        <f t="shared" si="8"/>
        <v>-8.4571312447999993</v>
      </c>
      <c r="I50" s="15">
        <f t="shared" si="8"/>
        <v>-10.166273869696003</v>
      </c>
      <c r="J50" s="15">
        <f t="shared" si="8"/>
        <v>-11.881599347089917</v>
      </c>
      <c r="K50" s="15">
        <f t="shared" si="8"/>
        <v>-13.603231334031717</v>
      </c>
      <c r="L50" s="15">
        <f t="shared" si="8"/>
        <v>-15.331295960712351</v>
      </c>
      <c r="M50" s="15">
        <f t="shared" si="8"/>
        <v>-17.065921879926599</v>
      </c>
      <c r="N50" s="15">
        <f t="shared" si="8"/>
        <v>-17.40724031752513</v>
      </c>
      <c r="O50" s="15">
        <f t="shared" si="8"/>
        <v>-17.755385123875634</v>
      </c>
      <c r="P50" s="15">
        <f t="shared" si="8"/>
        <v>-18.110492826353145</v>
      </c>
      <c r="Q50" s="15">
        <f t="shared" si="8"/>
        <v>-18.472702682880211</v>
      </c>
      <c r="R50" s="15">
        <f t="shared" si="8"/>
        <v>-18.84215673653781</v>
      </c>
      <c r="S50" s="15">
        <f t="shared" si="8"/>
        <v>-19.218999871268569</v>
      </c>
      <c r="T50" s="15">
        <f t="shared" si="8"/>
        <v>-19.603379868693942</v>
      </c>
      <c r="U50" s="15">
        <f t="shared" si="8"/>
        <v>-19.995447466067819</v>
      </c>
      <c r="V50" s="15">
        <f t="shared" si="8"/>
        <v>-20.395356415389173</v>
      </c>
    </row>
    <row r="51" spans="1:22" x14ac:dyDescent="0.25">
      <c r="A51" s="59">
        <f>B14</f>
        <v>0.1</v>
      </c>
      <c r="B51" t="s">
        <v>19</v>
      </c>
      <c r="C51" s="26">
        <f>B14</f>
        <v>0.1</v>
      </c>
    </row>
    <row r="52" spans="1:22" x14ac:dyDescent="0.25">
      <c r="A52" s="20">
        <f>C50+NPV(A51,D50:V50)</f>
        <v>-90.607585619536124</v>
      </c>
      <c r="B52" t="s">
        <v>22</v>
      </c>
    </row>
    <row r="53" spans="1:22" x14ac:dyDescent="0.25">
      <c r="A53" s="27">
        <f>(A52-A38)/100</f>
        <v>-0.76448583055517016</v>
      </c>
      <c r="B53" t="s">
        <v>14</v>
      </c>
      <c r="G53" s="12"/>
    </row>
    <row r="54" spans="1:22" x14ac:dyDescent="0.25">
      <c r="A54" s="17"/>
      <c r="G54" s="12"/>
    </row>
    <row r="56" spans="1:22" x14ac:dyDescent="0.25">
      <c r="A56" s="4">
        <v>10</v>
      </c>
      <c r="B56" t="s">
        <v>16</v>
      </c>
    </row>
    <row r="57" spans="1:22" x14ac:dyDescent="0.25">
      <c r="A57" s="5">
        <f>1/A56</f>
        <v>0.1</v>
      </c>
      <c r="B57" t="s">
        <v>17</v>
      </c>
    </row>
    <row r="58" spans="1:22" x14ac:dyDescent="0.25">
      <c r="A58" s="7">
        <v>0</v>
      </c>
      <c r="B58" t="s">
        <v>73</v>
      </c>
    </row>
    <row r="60" spans="1:22" x14ac:dyDescent="0.25">
      <c r="A60" t="s">
        <v>115</v>
      </c>
    </row>
    <row r="100" spans="2:2" x14ac:dyDescent="0.25">
      <c r="B100" t="s">
        <v>117</v>
      </c>
    </row>
    <row r="101" spans="2:2" x14ac:dyDescent="0.25">
      <c r="B101" t="s">
        <v>118</v>
      </c>
    </row>
  </sheetData>
  <protectedRanges>
    <protectedRange sqref="C48:V48" name="Actual Rate Schedule"/>
    <protectedRange sqref="B4" name="Array Capacity   DC_1"/>
    <protectedRange sqref="A7" name="Number of LMI Subscribers_1"/>
    <protectedRange sqref="A22" name="kWh ac per kW dc"/>
    <protectedRange sqref="C47" name="Utility rate year zero"/>
    <protectedRange sqref="A56" name="Stepdown Period in years"/>
    <protectedRange sqref="A58" name="Year zero reduction below Utility Rate"/>
  </protectedRanges>
  <dataValidations count="3">
    <dataValidation allowBlank="1" showInputMessage="1" showErrorMessage="1" promptTitle="Values for kWh-ac per kW-dc" prompt="Use 1230 if flat roof_x000a_Use 1390 if pitched roof (about 30 degrees)_x000a_Use 1400 if ground mounted fixed axis_x000a_Use 1650 if single axis tracking_x000a_Provide full PVWATTS inputs used to calculate any other value." sqref="A22"/>
    <dataValidation allowBlank="1" showInputMessage="1" showErrorMessage="1" promptTitle="Total Array Capacity" prompt="This is the total number of DC watts going into the inverter(s).  I used a PVWATTS DC to AC ratio of 1.2 when calculating small and medium sized roof mounted system outputs, and a PVWATTS DC to AC ratio of 1.4 for large ground mounted systems " sqref="B4"/>
    <dataValidation type="list" allowBlank="1" showInputMessage="1" showErrorMessage="1" sqref="B3">
      <formula1>$B$100:$B$102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148AAE66E00A4896E3F9FCB2FC0691" ma:contentTypeVersion="1" ma:contentTypeDescription="Create a new document." ma:contentTypeScope="" ma:versionID="b3551181b9de853868a9ed369d3638c0">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AAC3D2-6FB5-43F0-9E55-B23F60ED5FA5}"/>
</file>

<file path=customXml/itemProps2.xml><?xml version="1.0" encoding="utf-8"?>
<ds:datastoreItem xmlns:ds="http://schemas.openxmlformats.org/officeDocument/2006/customXml" ds:itemID="{318C389B-0CF1-4188-BD04-827EE476670B}"/>
</file>

<file path=customXml/itemProps3.xml><?xml version="1.0" encoding="utf-8"?>
<ds:datastoreItem xmlns:ds="http://schemas.openxmlformats.org/officeDocument/2006/customXml" ds:itemID="{C27D4053-88A9-4D92-BA97-356753C12C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Instructions </vt:lpstr>
      <vt:lpstr>Test Case</vt:lpstr>
      <vt:lpstr>Step-Down Case</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Comis</dc:creator>
  <cp:lastModifiedBy>Windows User</cp:lastModifiedBy>
  <cp:lastPrinted>2018-03-01T19:54:18Z</cp:lastPrinted>
  <dcterms:created xsi:type="dcterms:W3CDTF">2018-02-13T19:26:32Z</dcterms:created>
  <dcterms:modified xsi:type="dcterms:W3CDTF">2020-08-27T19:01:12Z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0x01010042148AAE66E00A4896E3F9FCB2FC0691</vt:lpwstr>
  </property>
</Properties>
</file>